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166" yWindow="975" windowWidth="15060" windowHeight="11700" activeTab="0"/>
  </bookViews>
  <sheets>
    <sheet name="Start Page - Input Values" sheetId="1" r:id="rId1"/>
    <sheet name="Defaults" sheetId="2" r:id="rId2"/>
    <sheet name="Environment" sheetId="3" r:id="rId3"/>
    <sheet name="Economics" sheetId="4" r:id="rId4"/>
  </sheets>
  <definedNames>
    <definedName name="_ftn1" localSheetId="1">'Defaults'!#REF!</definedName>
    <definedName name="_ftn2" localSheetId="1">'Defaults'!#REF!</definedName>
    <definedName name="_ftn4" localSheetId="1">'Defaults'!#REF!</definedName>
    <definedName name="_ftn5" localSheetId="1">'Defaults'!#REF!</definedName>
    <definedName name="_ftnref1" localSheetId="1">'Defaults'!#REF!</definedName>
    <definedName name="_ftnref2" localSheetId="1">'Defaults'!#REF!</definedName>
    <definedName name="_ftnref3" localSheetId="1">'Defaults'!$G$53</definedName>
    <definedName name="diesel">#REF!</definedName>
  </definedNames>
  <calcPr calcId="145621"/>
</workbook>
</file>

<file path=xl/comments1.xml><?xml version="1.0" encoding="utf-8"?>
<comments xmlns="http://schemas.openxmlformats.org/spreadsheetml/2006/main">
  <authors>
    <author>jurg grutter</author>
  </authors>
  <commentList>
    <comment ref="F31" authorId="0">
      <text>
        <r>
          <rPr>
            <b/>
            <sz val="9"/>
            <rFont val="Tahoma"/>
            <family val="2"/>
          </rPr>
          <t>default 1.3x diesel bus cost</t>
        </r>
      </text>
    </comment>
    <comment ref="H31" authorId="0">
      <text>
        <r>
          <rPr>
            <b/>
            <sz val="9"/>
            <rFont val="Tahoma"/>
            <family val="2"/>
          </rPr>
          <t>Default: 1.45x diesel bus price</t>
        </r>
      </text>
    </comment>
    <comment ref="J31" authorId="0">
      <text>
        <r>
          <rPr>
            <b/>
            <sz val="9"/>
            <rFont val="Tahoma"/>
            <family val="2"/>
          </rPr>
          <t>Default: 2x diesel bus price</t>
        </r>
      </text>
    </comment>
    <comment ref="F35" authorId="0">
      <text>
        <r>
          <rPr>
            <b/>
            <sz val="9"/>
            <rFont val="Tahoma"/>
            <family val="2"/>
          </rPr>
          <t>Default: 15% of investment cost of hybrid bus</t>
        </r>
      </text>
    </comment>
    <comment ref="H35" authorId="0">
      <text>
        <r>
          <rPr>
            <b/>
            <sz val="9"/>
            <rFont val="Tahoma"/>
            <family val="2"/>
          </rPr>
          <t>Default: 20% of investment cost of plug-in hybrid</t>
        </r>
        <r>
          <rPr>
            <sz val="9"/>
            <rFont val="Tahoma"/>
            <family val="2"/>
          </rPr>
          <t xml:space="preserve">
</t>
        </r>
      </text>
    </comment>
    <comment ref="J35" authorId="0">
      <text>
        <r>
          <rPr>
            <b/>
            <sz val="9"/>
            <rFont val="Tahoma"/>
            <family val="2"/>
          </rPr>
          <t>Default: 50% of investment cost of electric bus</t>
        </r>
      </text>
    </comment>
    <comment ref="F39" authorId="0">
      <text>
        <r>
          <rPr>
            <b/>
            <sz val="9"/>
            <rFont val="Tahoma"/>
            <family val="2"/>
          </rPr>
          <t>Default : 0.15 USD/km for 12m bus and 50% more for 18m bus</t>
        </r>
      </text>
    </comment>
    <comment ref="H39" authorId="0">
      <text>
        <r>
          <rPr>
            <b/>
            <sz val="9"/>
            <rFont val="Tahoma"/>
            <family val="2"/>
          </rPr>
          <t>Default: 0.20 USD/km for 12m bus and 50% more for 18m bus</t>
        </r>
        <r>
          <rPr>
            <sz val="9"/>
            <rFont val="Tahoma"/>
            <family val="2"/>
          </rPr>
          <t xml:space="preserve">
</t>
        </r>
      </text>
    </comment>
    <comment ref="J39" authorId="0">
      <text>
        <r>
          <rPr>
            <b/>
            <sz val="9"/>
            <rFont val="Tahoma"/>
            <family val="2"/>
          </rPr>
          <t>Default: 0.75 USD/km for 12m bus and 50% more for 18m bus</t>
        </r>
      </text>
    </comment>
    <comment ref="F41" authorId="0">
      <text>
        <r>
          <rPr>
            <b/>
            <sz val="9"/>
            <rFont val="Tahoma"/>
            <family val="2"/>
          </rPr>
          <t>Default is the same value as for diesel</t>
        </r>
      </text>
    </comment>
    <comment ref="H41" authorId="0">
      <text>
        <r>
          <rPr>
            <b/>
            <sz val="9"/>
            <rFont val="Tahoma"/>
            <family val="2"/>
          </rPr>
          <t>Default is the same value as for diesel</t>
        </r>
      </text>
    </comment>
    <comment ref="J41" authorId="0">
      <text>
        <r>
          <rPr>
            <b/>
            <sz val="9"/>
            <rFont val="Tahoma"/>
            <family val="2"/>
          </rPr>
          <t>Default is 1.2x of diesel</t>
        </r>
      </text>
    </comment>
    <comment ref="F55" authorId="0">
      <text>
        <r>
          <rPr>
            <b/>
            <sz val="9"/>
            <rFont val="Tahoma"/>
            <family val="2"/>
          </rPr>
          <t>Default: 70% of diesel bus (30% fuel saving)</t>
        </r>
        <r>
          <rPr>
            <sz val="9"/>
            <rFont val="Tahoma"/>
            <family val="2"/>
          </rPr>
          <t xml:space="preserve">
</t>
        </r>
      </text>
    </comment>
    <comment ref="H55" authorId="0">
      <text>
        <r>
          <rPr>
            <b/>
            <sz val="9"/>
            <rFont val="Tahoma"/>
            <family val="2"/>
          </rPr>
          <t xml:space="preserve">Default: 60% of diesel bus (40% fuel saving)
</t>
        </r>
      </text>
    </comment>
    <comment ref="F64" authorId="0">
      <text>
        <r>
          <rPr>
            <b/>
            <sz val="9"/>
            <rFont val="Tahoma"/>
            <family val="2"/>
          </rPr>
          <t>Default: 5 USD per tCO</t>
        </r>
        <r>
          <rPr>
            <b/>
            <vertAlign val="subscript"/>
            <sz val="9"/>
            <rFont val="Tahoma"/>
            <family val="2"/>
          </rPr>
          <t>2</t>
        </r>
        <r>
          <rPr>
            <b/>
            <sz val="9"/>
            <rFont val="Tahoma"/>
            <family val="2"/>
          </rPr>
          <t xml:space="preserve"> reduced
</t>
        </r>
      </text>
    </comment>
  </commentList>
</comments>
</file>

<file path=xl/sharedStrings.xml><?xml version="1.0" encoding="utf-8"?>
<sst xmlns="http://schemas.openxmlformats.org/spreadsheetml/2006/main" count="189" uniqueCount="156">
  <si>
    <t>Comparison Hybrid and Electric with Diesel Bus</t>
  </si>
  <si>
    <t xml:space="preserve">This tool can be used to compare the environmental and financial implications of buying a hybrid or electric bus versus a conventional diesel bus. It can be used for any bus size. Defaults are provided for 12m standard buses with a passenger capacity of around 80 and 18 articulated buses with a capacity of around 140 passengers. Important for the user is that when entering property values all are made only for one bus size. </t>
  </si>
  <si>
    <t>ID</t>
  </si>
  <si>
    <t>The tool is based on real and not nominal values i.e. no inflation is included. Also no real price escalation i.e. price increase beyond inflation for cost components incl. fuel cost is included in the tool.</t>
  </si>
  <si>
    <t>Annual distance driven in km</t>
  </si>
  <si>
    <t>Default values and their source are listed in the sheet "Defaults". They can be chosen by dropdown from the tool user.</t>
  </si>
  <si>
    <t>The tool is based on 1 bus unit i.e. all values are entered for 1 bus.</t>
  </si>
  <si>
    <t>The tool can be used in any currency. Default values are however indicated in USD i.e. if USD is not used as base currency a conversion of default values must be realized based on the current exchange rate.</t>
  </si>
  <si>
    <t xml:space="preserve">The same value is used for all bus types to make valid comparisons. </t>
  </si>
  <si>
    <t>Lifespan of bus in years</t>
  </si>
  <si>
    <t>Investment cost bus</t>
  </si>
  <si>
    <t>Battery life-span in years</t>
  </si>
  <si>
    <t>Investment cost replacement batteries</t>
  </si>
  <si>
    <t>Maintenance cost per km</t>
  </si>
  <si>
    <t>Battery leasing payment per km</t>
  </si>
  <si>
    <t>Diesel fuel cost per liter</t>
  </si>
  <si>
    <t>Electricity cost per KWh</t>
  </si>
  <si>
    <t>Other investment cost</t>
  </si>
  <si>
    <t>Indexed bus availability rate</t>
  </si>
  <si>
    <t>Number of full re-charges per day plug-in</t>
  </si>
  <si>
    <t>kmpl</t>
  </si>
  <si>
    <t>l/100km</t>
  </si>
  <si>
    <t>kmpg</t>
  </si>
  <si>
    <t>mpg</t>
  </si>
  <si>
    <t>US Gallon to Liter</t>
  </si>
  <si>
    <t>Miles to Kilometers</t>
  </si>
  <si>
    <t>Data Input Sheet</t>
  </si>
  <si>
    <t>Types of buses included in this tool are diesel buses (reference case), diesel-hybrid buses and diesel plug-in hybrids i.e. hybrids whose batteries can be charged from an external source, as well as battery-electric buses.</t>
  </si>
  <si>
    <t xml:space="preserve">This tool has been developed by Grütter Consulting with financial support by Repic. For clarifications and information please contact jgruetter@gmail.com or visit www.transport-ghg.com </t>
  </si>
  <si>
    <t>PARAMETER</t>
  </si>
  <si>
    <t>HYBRID PLUG-IN</t>
  </si>
  <si>
    <t>ELECTRIC</t>
  </si>
  <si>
    <t>HYBRID</t>
  </si>
  <si>
    <t>DIESEL</t>
  </si>
  <si>
    <t>COMMENT</t>
  </si>
  <si>
    <t>Specific electricity consumption in kWh/km</t>
  </si>
  <si>
    <t>Charge of 1 full rate plug-in in kWh</t>
  </si>
  <si>
    <t>Specific diesel consumption in l/100km</t>
  </si>
  <si>
    <t>The life-span refers to the average number of years buses are used within the company.</t>
  </si>
  <si>
    <t>Battery life-span is normally determined per number of charges. However for simplicity reasons the number of years shall be used based on average usage of bus per annum.</t>
  </si>
  <si>
    <t>Use the following conversion if expressed differently in your country:</t>
  </si>
  <si>
    <r>
      <t>conversion miles per US</t>
    </r>
    <r>
      <rPr>
        <u val="single"/>
        <sz val="11"/>
        <color theme="1"/>
        <rFont val="Calibri"/>
        <family val="2"/>
        <scheme val="minor"/>
      </rPr>
      <t xml:space="preserve"> </t>
    </r>
    <r>
      <rPr>
        <sz val="11"/>
        <color theme="1"/>
        <rFont val="Calibri"/>
        <family val="2"/>
        <scheme val="minor"/>
      </rPr>
      <t xml:space="preserve">gallon to l/100km </t>
    </r>
  </si>
  <si>
    <t>Default Values</t>
  </si>
  <si>
    <t>DEFAULT VALUE</t>
  </si>
  <si>
    <t>SOURCE/COMMENT</t>
  </si>
  <si>
    <r>
      <t>CO</t>
    </r>
    <r>
      <rPr>
        <vertAlign val="subscript"/>
        <sz val="11"/>
        <color theme="1"/>
        <rFont val="Calibri"/>
        <family val="2"/>
        <scheme val="minor"/>
      </rPr>
      <t>2</t>
    </r>
    <r>
      <rPr>
        <sz val="11"/>
        <color theme="1"/>
        <rFont val="Calibri"/>
        <family val="2"/>
        <scheme val="minor"/>
      </rPr>
      <t xml:space="preserve"> emission factor of grid in kg CO</t>
    </r>
    <r>
      <rPr>
        <vertAlign val="subscript"/>
        <sz val="11"/>
        <color theme="1"/>
        <rFont val="Calibri"/>
        <family val="2"/>
        <scheme val="minor"/>
      </rPr>
      <t>2e</t>
    </r>
    <r>
      <rPr>
        <sz val="11"/>
        <color theme="1"/>
        <rFont val="Calibri"/>
        <family val="2"/>
        <scheme val="minor"/>
      </rPr>
      <t>/kWh</t>
    </r>
  </si>
  <si>
    <t>60,000 km/a for mixed traffic roads and 80,000km/a for bus-only routes</t>
  </si>
  <si>
    <t>Source: Grütter Consulting; Based on monitored distances per bus of various cities in China, Colombia, Ecuador, Guatemala, India, Korea, Mexico, South Africa, Switzerland and Tunisia.</t>
  </si>
  <si>
    <t>100 for hybrid buses and hybrid plug-ins; 80 for electric buses</t>
  </si>
  <si>
    <t>Median real interst rate worldwide see as datasource lending rate: http://data.worldbank.org/indicator/FR.INR.LEND/countries and inflation rate: http://data.worldbank.org/indicator/FP.CPI.TOTL.ZG</t>
  </si>
  <si>
    <t>Real interest rate in %</t>
  </si>
  <si>
    <t>Average worldwide 2.5% real interest rate</t>
  </si>
  <si>
    <t>Bus costs are country and tax specific; Mark-ups based on Zhengzhou, Shenzhen and Bogota for different makes of hybrids and electric buses</t>
  </si>
  <si>
    <t>Other investment costs</t>
  </si>
  <si>
    <t>The default value is 0</t>
  </si>
  <si>
    <t>Charging stations are normally financed and owned by electric utilities</t>
  </si>
  <si>
    <t>Hybrid: 15% of vehicle value; Plug-in hybrid: 20% of vehicle value; Electric: 50% of vehicle value</t>
  </si>
  <si>
    <t>Based on Yutong, BYD, Volvo</t>
  </si>
  <si>
    <t>Life-span in which still 80% of capacity is reached; based on 60,000km/a and 300 charging cycles per annum; data from BYD, Yutong and Volvo</t>
  </si>
  <si>
    <t>No defaults provided as country specific</t>
  </si>
  <si>
    <t>1 recharge per operating day</t>
  </si>
  <si>
    <t>Based on Yutong</t>
  </si>
  <si>
    <r>
      <t>CO</t>
    </r>
    <r>
      <rPr>
        <vertAlign val="subscript"/>
        <sz val="11"/>
        <color theme="1"/>
        <rFont val="Calibri"/>
        <family val="2"/>
        <scheme val="minor"/>
      </rPr>
      <t xml:space="preserve">2 </t>
    </r>
    <r>
      <rPr>
        <sz val="11"/>
        <color theme="1"/>
        <rFont val="Calibri"/>
        <family val="2"/>
        <scheme val="minor"/>
      </rPr>
      <t>emission factor of grid in kg CO</t>
    </r>
    <r>
      <rPr>
        <vertAlign val="subscript"/>
        <sz val="11"/>
        <color theme="1"/>
        <rFont val="Calibri"/>
        <family val="2"/>
        <scheme val="minor"/>
      </rPr>
      <t>2e</t>
    </r>
    <r>
      <rPr>
        <sz val="11"/>
        <color theme="1"/>
        <rFont val="Calibri"/>
        <family val="2"/>
        <scheme val="minor"/>
      </rPr>
      <t>/kWh</t>
    </r>
  </si>
  <si>
    <r>
      <t>0.6 kgCO</t>
    </r>
    <r>
      <rPr>
        <vertAlign val="subscript"/>
        <sz val="11"/>
        <color theme="1"/>
        <rFont val="Calibri"/>
        <family val="2"/>
        <scheme val="minor"/>
      </rPr>
      <t>2</t>
    </r>
    <r>
      <rPr>
        <sz val="11"/>
        <color theme="1"/>
        <rFont val="Calibri"/>
        <family val="2"/>
        <scheme val="minor"/>
      </rPr>
      <t>/kWh</t>
    </r>
  </si>
  <si>
    <t>Values used for GHG Calculations</t>
  </si>
  <si>
    <t>IPCC Guidelines for National GHG Inventories, 2006, table 1.2,average</t>
  </si>
  <si>
    <t>IPCC Guidelines for National GHG Inventories, 2006, table 1.4,average</t>
  </si>
  <si>
    <t>IEA, Energy Statistics Manual, 2005</t>
  </si>
  <si>
    <t>Well-to-tank emission factor diesel</t>
  </si>
  <si>
    <t>JRC-Study study 22%, CEC 23%, GREET model 25%, GHGenius  model 29%; lower end value was taken to be conservative</t>
  </si>
  <si>
    <t>Conversion Factors</t>
  </si>
  <si>
    <r>
      <t>Default Values used for PM and NO</t>
    </r>
    <r>
      <rPr>
        <b/>
        <vertAlign val="subscript"/>
        <sz val="11"/>
        <color theme="1"/>
        <rFont val="Calibri"/>
        <family val="2"/>
        <scheme val="minor"/>
      </rPr>
      <t>x</t>
    </r>
    <r>
      <rPr>
        <b/>
        <sz val="11"/>
        <color theme="1"/>
        <rFont val="Calibri"/>
        <family val="2"/>
        <scheme val="minor"/>
      </rPr>
      <t xml:space="preserve"> Calculations</t>
    </r>
  </si>
  <si>
    <t>PM emission in g/km diesel bus</t>
  </si>
  <si>
    <r>
      <t>NO</t>
    </r>
    <r>
      <rPr>
        <vertAlign val="subscript"/>
        <sz val="11"/>
        <color theme="1"/>
        <rFont val="Calibri"/>
        <family val="2"/>
        <scheme val="minor"/>
      </rPr>
      <t>x</t>
    </r>
    <r>
      <rPr>
        <sz val="11"/>
        <color theme="1"/>
        <rFont val="Calibri"/>
        <family val="2"/>
        <scheme val="minor"/>
      </rPr>
      <t xml:space="preserve"> emission in g/km diesel bus</t>
    </r>
  </si>
  <si>
    <t>8 years</t>
  </si>
  <si>
    <t>12m bus: 40 kWh; 18m bus: 60 kWh</t>
  </si>
  <si>
    <t>3.7854 liter per US gallon</t>
  </si>
  <si>
    <t>1.6093 km per mile</t>
  </si>
  <si>
    <t>Explanations</t>
  </si>
  <si>
    <t>Environment</t>
  </si>
  <si>
    <r>
      <t>GHG emissions in tCO</t>
    </r>
    <r>
      <rPr>
        <vertAlign val="subscript"/>
        <sz val="11"/>
        <color theme="1"/>
        <rFont val="Calibri"/>
        <family val="2"/>
        <scheme val="minor"/>
      </rPr>
      <t>2</t>
    </r>
    <r>
      <rPr>
        <sz val="11"/>
        <color theme="1"/>
        <rFont val="Calibri"/>
        <family val="2"/>
        <scheme val="minor"/>
      </rPr>
      <t xml:space="preserve"> per annum</t>
    </r>
  </si>
  <si>
    <r>
      <t>GHG reduction versus diesel bus in tCO</t>
    </r>
    <r>
      <rPr>
        <vertAlign val="subscript"/>
        <sz val="11"/>
        <color theme="1"/>
        <rFont val="Calibri"/>
        <family val="2"/>
        <scheme val="minor"/>
      </rPr>
      <t>2</t>
    </r>
    <r>
      <rPr>
        <sz val="11"/>
        <color theme="1"/>
        <rFont val="Calibri"/>
        <family val="2"/>
        <scheme val="minor"/>
      </rPr>
      <t>/a</t>
    </r>
  </si>
  <si>
    <t>GHG reduction versus diesel bus in percentage</t>
  </si>
  <si>
    <t>Net Calorific Value (NCV) of diesel in MJ per kg</t>
  </si>
  <si>
    <r>
      <t>CO</t>
    </r>
    <r>
      <rPr>
        <vertAlign val="subscript"/>
        <sz val="11"/>
        <color theme="1"/>
        <rFont val="Calibri"/>
        <family val="2"/>
        <scheme val="minor"/>
      </rPr>
      <t>2</t>
    </r>
    <r>
      <rPr>
        <sz val="11"/>
        <color theme="1"/>
        <rFont val="Calibri"/>
        <family val="2"/>
        <scheme val="minor"/>
      </rPr>
      <t xml:space="preserve"> Emission factor of diesel in gCO</t>
    </r>
    <r>
      <rPr>
        <vertAlign val="subscript"/>
        <sz val="11"/>
        <color theme="1"/>
        <rFont val="Calibri"/>
        <family val="2"/>
        <scheme val="minor"/>
      </rPr>
      <t>2</t>
    </r>
    <r>
      <rPr>
        <sz val="11"/>
        <color theme="1"/>
        <rFont val="Calibri"/>
        <family val="2"/>
        <scheme val="minor"/>
      </rPr>
      <t>/MJ</t>
    </r>
  </si>
  <si>
    <t>Density of diesel in kg/l</t>
  </si>
  <si>
    <t>Diesel buses used as comparison base should be chosen based on a comparable passenger carrying capacity and not just the bus size i.e. potentially a 12m electric bus has only a passenger carrying capacity of 50 passengers and should thus be compared with a midi diesel bus of 50 passenger capacity also.</t>
  </si>
  <si>
    <t>Particle matter in kg per annum</t>
  </si>
  <si>
    <r>
      <t>NO</t>
    </r>
    <r>
      <rPr>
        <vertAlign val="subscript"/>
        <sz val="11"/>
        <color theme="1"/>
        <rFont val="Calibri"/>
        <family val="2"/>
        <scheme val="minor"/>
      </rPr>
      <t>x</t>
    </r>
    <r>
      <rPr>
        <sz val="11"/>
        <color theme="1"/>
        <rFont val="Calibri"/>
        <family val="2"/>
        <scheme val="minor"/>
      </rPr>
      <t xml:space="preserve"> in kg per annum</t>
    </r>
  </si>
  <si>
    <t>conversion kilometer per liter to l/100km</t>
  </si>
  <si>
    <t>conversion kilometer per gallon to l/100km</t>
  </si>
  <si>
    <t>Economics</t>
  </si>
  <si>
    <t>Investment per bus</t>
  </si>
  <si>
    <t>Normalized investment per bus</t>
  </si>
  <si>
    <t>Comment</t>
  </si>
  <si>
    <t>Annual fuel cost</t>
  </si>
  <si>
    <t>Annual maintenance cost</t>
  </si>
  <si>
    <t>Annualized total cost per km</t>
  </si>
  <si>
    <t>Annualized total cost per year</t>
  </si>
  <si>
    <t>Annual surplus cost</t>
  </si>
  <si>
    <t>Annual fuel + maintenance  cost</t>
  </si>
  <si>
    <t>Annual operational cost savings</t>
  </si>
  <si>
    <t>Additional investment per bus</t>
  </si>
  <si>
    <r>
      <t>Cost per tCO</t>
    </r>
    <r>
      <rPr>
        <vertAlign val="subscript"/>
        <sz val="11"/>
        <color theme="1"/>
        <rFont val="Calibri"/>
        <family val="2"/>
        <scheme val="minor"/>
      </rPr>
      <t>2</t>
    </r>
    <r>
      <rPr>
        <sz val="11"/>
        <color theme="1"/>
        <rFont val="Calibri"/>
        <family val="2"/>
        <scheme val="minor"/>
      </rPr>
      <t xml:space="preserve"> avoided</t>
    </r>
  </si>
  <si>
    <t>Static Payback time in years</t>
  </si>
  <si>
    <r>
      <t>GHG emissions in gCO</t>
    </r>
    <r>
      <rPr>
        <vertAlign val="subscript"/>
        <sz val="11"/>
        <color theme="1"/>
        <rFont val="Calibri"/>
        <family val="2"/>
        <scheme val="minor"/>
      </rPr>
      <t>2</t>
    </r>
    <r>
      <rPr>
        <sz val="11"/>
        <color theme="1"/>
        <rFont val="Calibri"/>
        <family val="2"/>
        <scheme val="minor"/>
      </rPr>
      <t>/km</t>
    </r>
  </si>
  <si>
    <r>
      <t>Economic value of 1 tCO</t>
    </r>
    <r>
      <rPr>
        <vertAlign val="subscript"/>
        <sz val="11"/>
        <color theme="1"/>
        <rFont val="Calibri"/>
        <family val="2"/>
        <scheme val="minor"/>
      </rPr>
      <t>2</t>
    </r>
    <r>
      <rPr>
        <sz val="11"/>
        <color theme="1"/>
        <rFont val="Calibri"/>
        <family val="2"/>
        <scheme val="minor"/>
      </rPr>
      <t xml:space="preserve"> reduced </t>
    </r>
  </si>
  <si>
    <r>
      <t>5 USD / tCO</t>
    </r>
    <r>
      <rPr>
        <vertAlign val="subscript"/>
        <sz val="11"/>
        <color theme="1"/>
        <rFont val="Calibri"/>
        <family val="2"/>
        <scheme val="minor"/>
      </rPr>
      <t>2</t>
    </r>
  </si>
  <si>
    <r>
      <t>Annual surplus cost with CO</t>
    </r>
    <r>
      <rPr>
        <vertAlign val="subscript"/>
        <sz val="11"/>
        <color theme="1"/>
        <rFont val="Calibri"/>
        <family val="2"/>
        <scheme val="minor"/>
      </rPr>
      <t>2</t>
    </r>
    <r>
      <rPr>
        <sz val="11"/>
        <color theme="1"/>
        <rFont val="Calibri"/>
        <family val="2"/>
        <scheme val="minor"/>
      </rPr>
      <t xml:space="preserve"> value</t>
    </r>
  </si>
  <si>
    <t>Manufacturer</t>
  </si>
  <si>
    <t xml:space="preserve">Model </t>
  </si>
  <si>
    <t>Enter the manufacturer of bus (not required for calculations but useful for comparison purposes)</t>
  </si>
  <si>
    <t>Enter the bus model (you can also enter e.g. standard/articulated bus)</t>
  </si>
  <si>
    <t>The interest rate refers to real interest rate (nominal minus inflation) to be paid for buses by the company. The real interest rate is used as fuel prices are inflation adjusted.</t>
  </si>
  <si>
    <t xml:space="preserve">Refers to capacitors or batteries for electric and hybrid buses; the cost is not included if batteries are paid through leasing contracts. </t>
  </si>
  <si>
    <t>For electric and hybrid buses these can be charging stations if not paid by the electricity company; only include the investment cost per bus</t>
  </si>
  <si>
    <t>Cost of a new bus of the same capacity/standard. In the case of hybrids/electric buses battery cost is not included if latter are leased. Deduct bus subsides from investment cost if applicable.</t>
  </si>
  <si>
    <t>This refers to percentage of time the bus is available for operations. Diesel units are Indexed at 100. A lower availability rate is due e.g. to more time spent for maintenance, more frequent breakdowns, etc.</t>
  </si>
  <si>
    <t xml:space="preserve">Is included in case of leasing contracts for batteries i.e. if latter are not bought by the bus company. </t>
  </si>
  <si>
    <t>Assume for electricity price 70% overnight charging.</t>
  </si>
  <si>
    <t>Can be omitted if no differential costs are expected between diesel and hybrid/electric units.</t>
  </si>
  <si>
    <t>Buses might be charged during the night and e.g. during off-peak hours.</t>
  </si>
  <si>
    <t>Based on electricity reading or battery specifications.</t>
  </si>
  <si>
    <t>Based on weighted average emission factor or Combined Margin.</t>
  </si>
  <si>
    <t>See conversion factor below if fuel cost is expressed in gallons in your country.</t>
  </si>
  <si>
    <t>1 kWh/km for 12m bus</t>
  </si>
  <si>
    <t>12m bus 46 l/100km; 18m bus 71 l/100km; hybrid 30% less; plug-in hybrid 40% less</t>
  </si>
  <si>
    <t>Same value of hybrid and electric buses.</t>
  </si>
  <si>
    <r>
      <t>Value of 1 ton of CO</t>
    </r>
    <r>
      <rPr>
        <vertAlign val="subscript"/>
        <sz val="11"/>
        <color theme="1"/>
        <rFont val="Calibri"/>
        <family val="2"/>
        <scheme val="minor"/>
      </rPr>
      <t>2</t>
    </r>
    <r>
      <rPr>
        <sz val="11"/>
        <color theme="1"/>
        <rFont val="Calibri"/>
        <family val="2"/>
        <scheme val="minor"/>
      </rPr>
      <t xml:space="preserve"> reduced </t>
    </r>
  </si>
  <si>
    <t>Source: Grütter Consulting based on bus availability rates reported for hybrids in London, Bogota and Zhengzhou; for electric buses based on Zhengzhou and Shenzhen</t>
  </si>
  <si>
    <t>Lifespan is depedent upon national regulations. 12 years is a value frequently used by bus companies.</t>
  </si>
  <si>
    <t>12 years</t>
  </si>
  <si>
    <t>Mark-up hybrid versus diesel factor 1.3; mark-up plug-in hybrid versus diesel: 1.45; mark-up electric bus factor versus 2</t>
  </si>
  <si>
    <t>This parameters is used in case of leasing batteries; Value based on battery cost, 8 year lifespan, discount factor of 10%, 20% profit rate and 60,000km per annum; Figure corraborated with cost paid by Bogota</t>
  </si>
  <si>
    <t>Hybrids and plug-ins same as diesel; electric buses Factor 1.2 higher than diesel</t>
  </si>
  <si>
    <t xml:space="preserve">Based on experience with hybrid fleet in Zhengzhou and electric bus fleet in Shenzhen; in theory electric buses should have lower maintenance cost but in practice spare parts are costlier and repairs more frequent; </t>
  </si>
  <si>
    <t xml:space="preserve">Based on average performance of 12m electric-buses in Zhengzhou and Shenzhen </t>
  </si>
  <si>
    <t>In practice a value near to 2 could be achieved by re-charging batteries during off-peak hours</t>
  </si>
  <si>
    <t>Based on worldwide median Combined Margin of IGES database, 2014</t>
  </si>
  <si>
    <t>Grütter Consulting: 12m bus based on median values of monitored SFC of buses in various cities of China, Colombia, Ecuador, Guatemala, India, Korea, Mexico, South Africa, Switzerland and Tunisia; 18m bus based on various cities in China, Colombia, South Africa, and Mexico</t>
  </si>
  <si>
    <t xml:space="preserve">The GHG, PM and environmental impact is calculated per bus even if passenger carrying capacities are different. Carrying capacities are only for maximum passengers and one would require data on the percentage of turn-arounds made by the bus with maximum load. </t>
  </si>
  <si>
    <r>
      <t>PM and NO</t>
    </r>
    <r>
      <rPr>
        <vertAlign val="subscript"/>
        <sz val="11"/>
        <color theme="1"/>
        <rFont val="Calibri"/>
        <family val="2"/>
        <scheme val="minor"/>
      </rPr>
      <t>X</t>
    </r>
    <r>
      <rPr>
        <sz val="11"/>
        <color theme="1"/>
        <rFont val="Calibri"/>
        <family val="2"/>
        <scheme val="minor"/>
      </rPr>
      <t xml:space="preserve"> data for plug-in hybrids is calculated based on electric distance usage. No reduction assumed for conventional hybrid.</t>
    </r>
  </si>
  <si>
    <t>Based on normalized investment. Compares hybrid/electric bus investment to diesel bus.</t>
  </si>
  <si>
    <t>Includes all other costs e.g. battery replacement; it  standardizes the investment based on the reference case diesel bus e.g. if the bus availability rate is 50 whilst the Diesel Index is 100 then the bus investment is doubled. The normalized investment is the investment required to attain the same service level in the same life-span as with a diesel bus.</t>
  </si>
  <si>
    <t>Only includes price components inserted by user; includes battery leasing cost.</t>
  </si>
  <si>
    <t>Only includes cost components included by user.</t>
  </si>
  <si>
    <t>Annualized costs includes investment cost discounted and expressed as annual cost.</t>
  </si>
  <si>
    <t>Cost comparison of hybrid/electric with diesel unit.</t>
  </si>
  <si>
    <t>Annual surplus cost of hybrid/electric bus divided by annual GHG reduction.</t>
  </si>
  <si>
    <r>
      <t>Includes economic value of reducing CO</t>
    </r>
    <r>
      <rPr>
        <vertAlign val="subscript"/>
        <sz val="11"/>
        <color theme="1"/>
        <rFont val="Calibri"/>
        <family val="2"/>
        <scheme val="minor"/>
      </rPr>
      <t>2</t>
    </r>
    <r>
      <rPr>
        <sz val="11"/>
        <color theme="1"/>
        <rFont val="Calibri"/>
        <family val="2"/>
        <scheme val="minor"/>
      </rPr>
      <t xml:space="preserve"> emissions.</t>
    </r>
  </si>
  <si>
    <t>Hybrids: 0.15 USD/km; Plug-ins: 0.20 USD/km; Electric: 0.75 USD/km for 12m bus;  50% additional in each category for 18m bus</t>
  </si>
  <si>
    <t>version 1.1 -  12/2014 - realized by Jürg Grütter and Ly Dang, Grütter Consulting</t>
  </si>
  <si>
    <r>
      <t>The GHG, Particle Matter (PM) and NO</t>
    </r>
    <r>
      <rPr>
        <vertAlign val="subscript"/>
        <sz val="11"/>
        <color theme="1"/>
        <rFont val="Calibri"/>
        <family val="2"/>
        <scheme val="minor"/>
      </rPr>
      <t>x</t>
    </r>
    <r>
      <rPr>
        <sz val="11"/>
        <color theme="1"/>
        <rFont val="Calibri"/>
        <family val="2"/>
        <scheme val="minor"/>
      </rPr>
      <t xml:space="preserve"> impact is calculated per bus and per year. The GHG impact is based on well-to-wheel i.e. includes upstream emissions of fuel extraction, refinery and transport and in the case of electricity emissions caused by the production and transmission of electricity. For NOx and PM only vehicle engine emissions are included and not abrasive (e.g. by brakes) or upstream emissions caused e.g. by power plants for electricity production. </t>
    </r>
  </si>
  <si>
    <t>0.02 g/kWh per PM and 1 l diesel = 10 kWh</t>
  </si>
  <si>
    <t>Based on Euro V model emission standard;  VBZ, Elektrobusse bei den Verkehrsbetrieben Zürich o A.M. Hallquist et.al., Particle and gaseous emissions from individual diesel and CNG buses, Atmos. Chem. Phys., 13, 5337-5350, 2013 or R. Pütz, Quo vadis Linienbusbetrieb?, VDV Jahrestagung 2014, 05/2014</t>
  </si>
  <si>
    <t>2g/kWh of NOx and 1 l diesel = 10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</si>
</sst>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4">
    <font>
      <sz val="11"/>
      <color theme="1"/>
      <name val="Calibri"/>
      <family val="2"/>
      <scheme val="minor"/>
    </font>
    <font>
      <sz val="10"/>
      <name val="Arial"/>
      <family val="2"/>
    </font>
    <font>
      <b/>
      <sz val="11"/>
      <color theme="1"/>
      <name val="Calibri"/>
      <family val="2"/>
      <scheme val="minor"/>
    </font>
    <font>
      <b/>
      <i/>
      <sz val="10"/>
      <color theme="1"/>
      <name val="Calibri"/>
      <family val="2"/>
      <scheme val="minor"/>
    </font>
    <font>
      <u val="single"/>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sz val="16"/>
      <color theme="1"/>
      <name val="Calibri"/>
      <family val="2"/>
      <scheme val="minor"/>
    </font>
    <font>
      <b/>
      <sz val="36"/>
      <color theme="1"/>
      <name val="Calibri"/>
      <family val="2"/>
      <scheme val="minor"/>
    </font>
    <font>
      <b/>
      <sz val="9"/>
      <name val="Tahoma"/>
      <family val="2"/>
    </font>
    <font>
      <sz val="9"/>
      <name val="Tahoma"/>
      <family val="2"/>
    </font>
    <font>
      <b/>
      <vertAlign val="subscript"/>
      <sz val="9"/>
      <name val="Tahoma"/>
      <family val="2"/>
    </font>
    <font>
      <b/>
      <sz val="8"/>
      <name val="Calibri"/>
      <family val="2"/>
    </font>
  </fonts>
  <fills count="9">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bgColor indexed="64"/>
      </patternFill>
    </fill>
  </fills>
  <borders count="6">
    <border>
      <left/>
      <right/>
      <top/>
      <bottom/>
      <diagonal/>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63">
    <xf numFmtId="0" fontId="0" fillId="0" borderId="0" xfId="0"/>
    <xf numFmtId="0" fontId="9" fillId="0" borderId="0" xfId="0" applyFont="1" applyProtection="1">
      <protection locked="0"/>
    </xf>
    <xf numFmtId="0" fontId="0" fillId="0" borderId="0" xfId="0" applyProtection="1">
      <protection locked="0"/>
    </xf>
    <xf numFmtId="0" fontId="3" fillId="0" borderId="0" xfId="0" applyFont="1" applyProtection="1">
      <protection locked="0"/>
    </xf>
    <xf numFmtId="0" fontId="7"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8" fillId="2" borderId="0" xfId="0" applyFont="1" applyFill="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2" fillId="3" borderId="0" xfId="0" applyFont="1" applyFill="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5"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protection locked="0"/>
    </xf>
    <xf numFmtId="0" fontId="0" fillId="3" borderId="0" xfId="0" applyFill="1" applyAlignment="1" applyProtection="1">
      <alignment horizontal="center"/>
      <protection locked="0"/>
    </xf>
    <xf numFmtId="0" fontId="0" fillId="4" borderId="0" xfId="0" applyFill="1" applyAlignment="1" applyProtection="1">
      <alignment horizontal="center"/>
      <protection locked="0"/>
    </xf>
    <xf numFmtId="0" fontId="0" fillId="5" borderId="0" xfId="0" applyFill="1" applyAlignment="1" applyProtection="1">
      <alignment horizontal="center"/>
      <protection locked="0"/>
    </xf>
    <xf numFmtId="0" fontId="0" fillId="6" borderId="0" xfId="0" applyFill="1" applyAlignment="1" applyProtection="1">
      <alignment horizontal="center"/>
      <protection locked="0"/>
    </xf>
    <xf numFmtId="0" fontId="0" fillId="0" borderId="0" xfId="0" applyAlignment="1" applyProtection="1">
      <alignment horizontal="left" vertical="center"/>
      <protection locked="0"/>
    </xf>
    <xf numFmtId="3" fontId="0" fillId="3" borderId="0" xfId="0" applyNumberFormat="1" applyFill="1" applyBorder="1" applyAlignment="1" applyProtection="1">
      <alignment horizontal="center"/>
      <protection locked="0"/>
    </xf>
    <xf numFmtId="3" fontId="0" fillId="4" borderId="0" xfId="0" applyNumberFormat="1" applyFill="1" applyBorder="1" applyAlignment="1" applyProtection="1">
      <alignment horizontal="center"/>
      <protection locked="0"/>
    </xf>
    <xf numFmtId="3" fontId="0" fillId="5" borderId="0" xfId="0" applyNumberFormat="1" applyFill="1" applyBorder="1" applyAlignment="1" applyProtection="1">
      <alignment horizontal="center"/>
      <protection locked="0"/>
    </xf>
    <xf numFmtId="3" fontId="0" fillId="6" borderId="0" xfId="0" applyNumberFormat="1" applyFill="1" applyBorder="1"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3" borderId="0" xfId="0" applyFill="1" applyAlignment="1" applyProtection="1">
      <alignment horizontal="center" vertical="center"/>
      <protection locked="0"/>
    </xf>
    <xf numFmtId="0" fontId="0" fillId="4" borderId="0" xfId="0" applyFill="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0" fontId="0" fillId="3" borderId="0" xfId="0" applyFill="1" applyBorder="1" applyAlignment="1" applyProtection="1">
      <alignment horizontal="center" vertical="center"/>
      <protection locked="0"/>
    </xf>
    <xf numFmtId="4" fontId="0" fillId="0" borderId="0" xfId="0" applyNumberFormat="1" applyAlignment="1" applyProtection="1">
      <alignment horizontal="center" vertical="center"/>
      <protection locked="0"/>
    </xf>
    <xf numFmtId="4" fontId="0" fillId="4" borderId="0" xfId="0" applyNumberFormat="1" applyFill="1" applyAlignment="1" applyProtection="1">
      <alignment horizontal="center"/>
      <protection locked="0"/>
    </xf>
    <xf numFmtId="4" fontId="0" fillId="0" borderId="0" xfId="0" applyNumberFormat="1" applyAlignment="1" applyProtection="1">
      <alignment horizontal="center"/>
      <protection locked="0"/>
    </xf>
    <xf numFmtId="4" fontId="0" fillId="5" borderId="0" xfId="0" applyNumberFormat="1" applyFill="1" applyAlignment="1" applyProtection="1">
      <alignment horizontal="center"/>
      <protection locked="0"/>
    </xf>
    <xf numFmtId="4" fontId="0" fillId="6" borderId="0" xfId="0" applyNumberFormat="1" applyFill="1" applyAlignment="1" applyProtection="1">
      <alignment horizontal="center"/>
      <protection locked="0"/>
    </xf>
    <xf numFmtId="4" fontId="0" fillId="3" borderId="0" xfId="0" applyNumberFormat="1" applyFill="1" applyBorder="1" applyAlignment="1" applyProtection="1">
      <alignment horizontal="center" vertical="center"/>
      <protection locked="0"/>
    </xf>
    <xf numFmtId="4" fontId="0" fillId="4" borderId="0" xfId="0" applyNumberFormat="1" applyFill="1" applyBorder="1" applyAlignment="1" applyProtection="1">
      <alignment horizontal="center" vertical="center"/>
      <protection locked="0"/>
    </xf>
    <xf numFmtId="4" fontId="0" fillId="3" borderId="0" xfId="0" applyNumberFormat="1" applyFill="1" applyAlignment="1" applyProtection="1">
      <alignment horizontal="center"/>
      <protection locked="0"/>
    </xf>
    <xf numFmtId="4" fontId="0" fillId="5" borderId="0" xfId="0" applyNumberFormat="1" applyFill="1" applyBorder="1" applyAlignment="1" applyProtection="1">
      <alignment horizontal="center"/>
      <protection locked="0"/>
    </xf>
    <xf numFmtId="4" fontId="0" fillId="6" borderId="0" xfId="0" applyNumberFormat="1" applyFill="1" applyBorder="1" applyAlignment="1" applyProtection="1">
      <alignment horizontal="center"/>
      <protection locked="0"/>
    </xf>
    <xf numFmtId="2" fontId="0" fillId="0" borderId="0" xfId="0" applyNumberFormat="1" applyAlignment="1" applyProtection="1">
      <alignment horizontal="center"/>
      <protection locked="0"/>
    </xf>
    <xf numFmtId="0" fontId="0" fillId="3" borderId="0" xfId="0" applyFill="1" applyProtection="1">
      <protection locked="0"/>
    </xf>
    <xf numFmtId="0" fontId="0" fillId="4" borderId="0" xfId="0" applyFill="1" applyProtection="1">
      <protection locked="0"/>
    </xf>
    <xf numFmtId="0" fontId="0" fillId="5" borderId="0" xfId="0" applyFill="1" applyProtection="1">
      <protection locked="0"/>
    </xf>
    <xf numFmtId="0" fontId="0" fillId="6" borderId="0" xfId="0" applyFill="1" applyProtection="1">
      <protection locked="0"/>
    </xf>
    <xf numFmtId="1" fontId="0" fillId="0" borderId="0" xfId="0" applyNumberFormat="1" applyAlignment="1" applyProtection="1">
      <alignment horizontal="center"/>
      <protection locked="0"/>
    </xf>
    <xf numFmtId="1" fontId="0" fillId="6" borderId="0" xfId="0" applyNumberFormat="1" applyFill="1" applyBorder="1" applyAlignment="1" applyProtection="1">
      <alignment horizontal="center"/>
      <protection locked="0"/>
    </xf>
    <xf numFmtId="0" fontId="0" fillId="0" borderId="1" xfId="0" applyBorder="1" applyAlignment="1" applyProtection="1">
      <alignment horizontal="left"/>
      <protection locked="0"/>
    </xf>
    <xf numFmtId="164" fontId="0" fillId="0" borderId="2" xfId="0" applyNumberFormat="1" applyBorder="1" applyProtection="1">
      <protection locked="0"/>
    </xf>
    <xf numFmtId="164" fontId="0" fillId="0" borderId="0" xfId="0" applyNumberFormat="1" applyProtection="1">
      <protection locked="0"/>
    </xf>
    <xf numFmtId="1" fontId="0" fillId="0" borderId="0" xfId="0" applyNumberFormat="1" applyProtection="1">
      <protection locked="0"/>
    </xf>
    <xf numFmtId="4" fontId="0" fillId="0" borderId="0" xfId="0" applyNumberFormat="1" applyProtection="1">
      <protection locked="0"/>
    </xf>
    <xf numFmtId="3" fontId="0" fillId="7" borderId="2" xfId="0" applyNumberFormat="1" applyFill="1" applyBorder="1" applyAlignment="1" applyProtection="1">
      <alignment horizontal="center"/>
      <protection/>
    </xf>
    <xf numFmtId="0" fontId="0" fillId="7" borderId="2" xfId="0" applyFill="1" applyBorder="1" applyAlignment="1" applyProtection="1">
      <alignment horizontal="center" vertical="center"/>
      <protection/>
    </xf>
    <xf numFmtId="4" fontId="0" fillId="7" borderId="2" xfId="0" applyNumberFormat="1" applyFill="1" applyBorder="1" applyAlignment="1" applyProtection="1">
      <alignment horizontal="center" vertical="center"/>
      <protection/>
    </xf>
    <xf numFmtId="0" fontId="0" fillId="0" borderId="2" xfId="0" applyBorder="1" applyAlignment="1" applyProtection="1">
      <alignment horizontal="center"/>
      <protection locked="0"/>
    </xf>
    <xf numFmtId="3" fontId="0" fillId="8" borderId="2" xfId="0" applyNumberFormat="1" applyFill="1" applyBorder="1" applyAlignment="1" applyProtection="1">
      <alignment horizontal="center"/>
      <protection locked="0"/>
    </xf>
    <xf numFmtId="0" fontId="0" fillId="8" borderId="2" xfId="0" applyFill="1" applyBorder="1" applyAlignment="1" applyProtection="1">
      <alignment horizontal="center" vertical="center"/>
      <protection locked="0"/>
    </xf>
    <xf numFmtId="0" fontId="0" fillId="8" borderId="2" xfId="0" applyFill="1" applyBorder="1" applyAlignment="1" applyProtection="1">
      <alignment horizontal="center"/>
      <protection locked="0"/>
    </xf>
    <xf numFmtId="165" fontId="0" fillId="7" borderId="2" xfId="20" applyNumberFormat="1" applyFont="1" applyFill="1" applyBorder="1" applyAlignment="1" applyProtection="1">
      <alignment horizontal="center" vertical="center"/>
      <protection/>
    </xf>
    <xf numFmtId="165" fontId="0" fillId="8" borderId="2" xfId="20" applyNumberFormat="1" applyFont="1" applyFill="1" applyBorder="1" applyAlignment="1" applyProtection="1">
      <alignment horizontal="center" vertical="center"/>
      <protection locked="0"/>
    </xf>
    <xf numFmtId="3" fontId="0" fillId="8" borderId="2" xfId="0" applyNumberFormat="1" applyFill="1" applyBorder="1" applyAlignment="1" applyProtection="1">
      <alignment horizontal="center" vertical="center"/>
      <protection locked="0"/>
    </xf>
    <xf numFmtId="0" fontId="0" fillId="0" borderId="0" xfId="0" applyAlignment="1" applyProtection="1">
      <alignment horizontal="left"/>
      <protection locked="0"/>
    </xf>
    <xf numFmtId="4" fontId="0" fillId="8" borderId="2" xfId="0" applyNumberFormat="1" applyFill="1" applyBorder="1" applyAlignment="1" applyProtection="1">
      <alignment horizontal="center" vertical="center"/>
      <protection locked="0"/>
    </xf>
    <xf numFmtId="166" fontId="0" fillId="8" borderId="2" xfId="0" applyNumberFormat="1" applyFill="1" applyBorder="1" applyAlignment="1" applyProtection="1">
      <alignment horizontal="center"/>
      <protection locked="0"/>
    </xf>
    <xf numFmtId="0" fontId="0" fillId="0" borderId="0" xfId="0" applyAlignment="1" applyProtection="1">
      <alignment horizontal="center"/>
      <protection locked="0"/>
    </xf>
    <xf numFmtId="2" fontId="0" fillId="8" borderId="2" xfId="0" applyNumberFormat="1" applyFill="1" applyBorder="1" applyAlignment="1" applyProtection="1">
      <alignment horizontal="center"/>
      <protection locked="0"/>
    </xf>
    <xf numFmtId="1" fontId="0" fillId="8" borderId="2" xfId="0" applyNumberFormat="1" applyFill="1" applyBorder="1" applyAlignment="1" applyProtection="1">
      <alignment horizontal="center"/>
      <protection locked="0"/>
    </xf>
    <xf numFmtId="0" fontId="7" fillId="2" borderId="0" xfId="0" applyFont="1" applyFill="1" applyProtection="1">
      <protection/>
    </xf>
    <xf numFmtId="0" fontId="0" fillId="2" borderId="0" xfId="0" applyFill="1" applyProtection="1">
      <protection/>
    </xf>
    <xf numFmtId="0" fontId="0" fillId="0" borderId="0" xfId="0" applyProtection="1">
      <protection/>
    </xf>
    <xf numFmtId="0" fontId="3" fillId="0" borderId="0" xfId="0" applyFont="1" applyProtection="1">
      <protection/>
    </xf>
    <xf numFmtId="0" fontId="0" fillId="0" borderId="0" xfId="0" applyAlignment="1" applyProtection="1">
      <alignment horizontal="left" wrapText="1"/>
      <protection/>
    </xf>
    <xf numFmtId="0" fontId="2" fillId="0" borderId="0" xfId="0" applyFont="1" applyAlignment="1" applyProtection="1">
      <alignment vertical="center"/>
      <protection/>
    </xf>
    <xf numFmtId="0" fontId="2" fillId="3" borderId="0" xfId="0" applyFont="1" applyFill="1" applyAlignment="1" applyProtection="1">
      <alignment horizontal="center" vertical="center"/>
      <protection/>
    </xf>
    <xf numFmtId="0" fontId="2" fillId="0" borderId="0" xfId="0" applyFont="1" applyProtection="1">
      <protection/>
    </xf>
    <xf numFmtId="0" fontId="2" fillId="4" borderId="0" xfId="0" applyFont="1" applyFill="1" applyAlignment="1" applyProtection="1">
      <alignment horizontal="center" vertical="center"/>
      <protection/>
    </xf>
    <xf numFmtId="0" fontId="2" fillId="5" borderId="0" xfId="0" applyFont="1" applyFill="1" applyAlignment="1" applyProtection="1">
      <alignment horizontal="center" vertical="center" wrapText="1"/>
      <protection/>
    </xf>
    <xf numFmtId="0" fontId="2" fillId="6" borderId="0" xfId="0" applyFont="1" applyFill="1" applyAlignment="1" applyProtection="1">
      <alignment horizontal="center" vertical="center"/>
      <protection/>
    </xf>
    <xf numFmtId="0" fontId="2" fillId="0" borderId="0" xfId="0" applyFont="1" applyAlignment="1" applyProtection="1">
      <alignment horizontal="center" vertical="center"/>
      <protection/>
    </xf>
    <xf numFmtId="0" fontId="0" fillId="3" borderId="0" xfId="0" applyFill="1" applyProtection="1">
      <protection/>
    </xf>
    <xf numFmtId="0" fontId="0" fillId="4" borderId="0" xfId="0" applyFill="1" applyProtection="1">
      <protection/>
    </xf>
    <xf numFmtId="0" fontId="0" fillId="5" borderId="0" xfId="0" applyFill="1" applyProtection="1">
      <protection/>
    </xf>
    <xf numFmtId="0" fontId="0" fillId="6" borderId="0" xfId="0" applyFill="1" applyProtection="1">
      <protection/>
    </xf>
    <xf numFmtId="0" fontId="0" fillId="0" borderId="0" xfId="0" applyAlignment="1" applyProtection="1">
      <alignment horizontal="left"/>
      <protection/>
    </xf>
    <xf numFmtId="3" fontId="0" fillId="3" borderId="2" xfId="0" applyNumberFormat="1" applyFill="1" applyBorder="1" applyAlignment="1" applyProtection="1">
      <alignment horizontal="center"/>
      <protection/>
    </xf>
    <xf numFmtId="3" fontId="0" fillId="0" borderId="0" xfId="0" applyNumberFormat="1" applyAlignment="1" applyProtection="1">
      <alignment horizontal="center"/>
      <protection/>
    </xf>
    <xf numFmtId="3" fontId="0" fillId="4" borderId="2" xfId="0" applyNumberFormat="1" applyFill="1" applyBorder="1" applyAlignment="1" applyProtection="1">
      <alignment horizontal="center"/>
      <protection/>
    </xf>
    <xf numFmtId="3" fontId="0" fillId="5" borderId="2" xfId="0" applyNumberFormat="1" applyFill="1" applyBorder="1" applyAlignment="1" applyProtection="1">
      <alignment horizontal="center"/>
      <protection/>
    </xf>
    <xf numFmtId="3" fontId="0" fillId="6" borderId="2" xfId="0" applyNumberFormat="1" applyFill="1" applyBorder="1" applyAlignment="1" applyProtection="1">
      <alignment horizontal="center"/>
      <protection/>
    </xf>
    <xf numFmtId="1" fontId="0" fillId="3" borderId="2" xfId="0" applyNumberFormat="1" applyFill="1" applyBorder="1" applyAlignment="1" applyProtection="1">
      <alignment horizontal="center"/>
      <protection/>
    </xf>
    <xf numFmtId="1" fontId="0" fillId="4" borderId="2" xfId="0" applyNumberFormat="1" applyFill="1" applyBorder="1" applyAlignment="1" applyProtection="1">
      <alignment horizontal="center"/>
      <protection/>
    </xf>
    <xf numFmtId="1" fontId="0" fillId="5" borderId="2" xfId="0" applyNumberFormat="1" applyFill="1" applyBorder="1" applyAlignment="1" applyProtection="1">
      <alignment horizontal="center"/>
      <protection/>
    </xf>
    <xf numFmtId="0" fontId="0" fillId="6" borderId="2" xfId="0" applyFill="1" applyBorder="1" applyAlignment="1" applyProtection="1">
      <alignment horizontal="center"/>
      <protection/>
    </xf>
    <xf numFmtId="1" fontId="0" fillId="4" borderId="2" xfId="0" applyNumberFormat="1" applyFont="1" applyFill="1" applyBorder="1" applyAlignment="1" applyProtection="1">
      <alignment horizontal="center"/>
      <protection/>
    </xf>
    <xf numFmtId="0" fontId="0" fillId="0" borderId="0" xfId="0" applyFont="1" applyFill="1" applyBorder="1" applyProtection="1">
      <protection/>
    </xf>
    <xf numFmtId="1" fontId="0" fillId="5" borderId="2" xfId="0" applyNumberFormat="1" applyFont="1" applyFill="1" applyBorder="1" applyAlignment="1" applyProtection="1">
      <alignment horizontal="center"/>
      <protection/>
    </xf>
    <xf numFmtId="0" fontId="0" fillId="8" borderId="0" xfId="0" applyFont="1" applyFill="1" applyBorder="1" applyProtection="1">
      <protection/>
    </xf>
    <xf numFmtId="1" fontId="0" fillId="6" borderId="2" xfId="0" applyNumberFormat="1" applyFont="1" applyFill="1" applyBorder="1" applyAlignment="1" applyProtection="1">
      <alignment horizontal="center"/>
      <protection/>
    </xf>
    <xf numFmtId="0" fontId="0" fillId="4" borderId="0" xfId="0" applyFont="1" applyFill="1" applyBorder="1" applyProtection="1">
      <protection/>
    </xf>
    <xf numFmtId="0" fontId="0" fillId="5" borderId="0"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9" fontId="0" fillId="4" borderId="2" xfId="20" applyFont="1" applyFill="1" applyBorder="1" applyAlignment="1" applyProtection="1">
      <alignment horizontal="center"/>
      <protection/>
    </xf>
    <xf numFmtId="9" fontId="0" fillId="5" borderId="2" xfId="20" applyFont="1" applyFill="1" applyBorder="1" applyAlignment="1" applyProtection="1">
      <alignment horizontal="center"/>
      <protection/>
    </xf>
    <xf numFmtId="9" fontId="0" fillId="6" borderId="2" xfId="20" applyFont="1" applyFill="1" applyBorder="1" applyAlignment="1" applyProtection="1">
      <alignment horizontal="center"/>
      <protection/>
    </xf>
    <xf numFmtId="0" fontId="0" fillId="5" borderId="0" xfId="0" applyFill="1" applyAlignment="1" applyProtection="1">
      <alignment horizontal="center"/>
      <protection/>
    </xf>
    <xf numFmtId="0" fontId="0" fillId="6" borderId="0" xfId="0" applyFill="1" applyAlignment="1" applyProtection="1">
      <alignment horizontal="center"/>
      <protection/>
    </xf>
    <xf numFmtId="164" fontId="0" fillId="3" borderId="2" xfId="0" applyNumberFormat="1" applyFill="1" applyBorder="1" applyAlignment="1" applyProtection="1">
      <alignment horizontal="center"/>
      <protection/>
    </xf>
    <xf numFmtId="164" fontId="0" fillId="4" borderId="2" xfId="0" applyNumberFormat="1" applyFill="1" applyBorder="1" applyAlignment="1" applyProtection="1">
      <alignment horizontal="center"/>
      <protection/>
    </xf>
    <xf numFmtId="164" fontId="0" fillId="5" borderId="2" xfId="0" applyNumberFormat="1" applyFill="1" applyBorder="1" applyAlignment="1" applyProtection="1">
      <alignment horizontal="center"/>
      <protection/>
    </xf>
    <xf numFmtId="0" fontId="0" fillId="4" borderId="0" xfId="0" applyFill="1" applyAlignment="1" applyProtection="1">
      <alignment horizontal="center"/>
      <protection/>
    </xf>
    <xf numFmtId="0" fontId="0" fillId="3" borderId="2" xfId="0" applyFill="1" applyBorder="1" applyAlignment="1" applyProtection="1">
      <alignment horizontal="center"/>
      <protection/>
    </xf>
    <xf numFmtId="0" fontId="0" fillId="0" borderId="0" xfId="0" applyAlignment="1" applyProtection="1">
      <alignment horizontal="center"/>
      <protection/>
    </xf>
    <xf numFmtId="0" fontId="0" fillId="3" borderId="0" xfId="0" applyFill="1"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3" fontId="0" fillId="3" borderId="2"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3" fontId="0" fillId="4" borderId="2" xfId="0" applyNumberFormat="1" applyFill="1" applyBorder="1" applyAlignment="1" applyProtection="1">
      <alignment horizontal="center" vertical="center"/>
      <protection/>
    </xf>
    <xf numFmtId="3" fontId="0" fillId="0" borderId="0" xfId="0" applyNumberFormat="1" applyAlignment="1" applyProtection="1">
      <alignment horizontal="center" vertical="center"/>
      <protection/>
    </xf>
    <xf numFmtId="3" fontId="0" fillId="5" borderId="2" xfId="0" applyNumberFormat="1" applyFill="1" applyBorder="1" applyAlignment="1" applyProtection="1">
      <alignment horizontal="center" vertical="center"/>
      <protection/>
    </xf>
    <xf numFmtId="3" fontId="0" fillId="6" borderId="2" xfId="0" applyNumberFormat="1" applyFill="1" applyBorder="1" applyAlignment="1" applyProtection="1">
      <alignment horizontal="center" vertical="center"/>
      <protection/>
    </xf>
    <xf numFmtId="0" fontId="0" fillId="3" borderId="0" xfId="0" applyFill="1" applyBorder="1" applyProtection="1">
      <protection/>
    </xf>
    <xf numFmtId="3" fontId="0" fillId="3" borderId="0" xfId="0" applyNumberFormat="1" applyFill="1" applyAlignment="1" applyProtection="1">
      <alignment horizontal="center"/>
      <protection/>
    </xf>
    <xf numFmtId="3" fontId="0" fillId="4" borderId="0" xfId="0" applyNumberFormat="1" applyFill="1" applyAlignment="1" applyProtection="1">
      <alignment horizontal="center"/>
      <protection/>
    </xf>
    <xf numFmtId="3" fontId="0" fillId="5" borderId="0" xfId="0" applyNumberFormat="1" applyFill="1" applyAlignment="1" applyProtection="1">
      <alignment horizontal="center"/>
      <protection/>
    </xf>
    <xf numFmtId="3" fontId="0" fillId="6" borderId="0" xfId="0" applyNumberFormat="1" applyFill="1" applyAlignment="1" applyProtection="1">
      <alignment horizontal="center"/>
      <protection/>
    </xf>
    <xf numFmtId="4" fontId="0" fillId="3" borderId="2" xfId="0" applyNumberFormat="1" applyFill="1" applyBorder="1" applyAlignment="1" applyProtection="1">
      <alignment horizontal="center"/>
      <protection/>
    </xf>
    <xf numFmtId="4" fontId="0" fillId="0" borderId="0" xfId="0" applyNumberFormat="1" applyAlignment="1" applyProtection="1">
      <alignment horizontal="center"/>
      <protection/>
    </xf>
    <xf numFmtId="4" fontId="0" fillId="4" borderId="2" xfId="0" applyNumberFormat="1" applyFill="1" applyBorder="1" applyAlignment="1" applyProtection="1">
      <alignment horizontal="center"/>
      <protection/>
    </xf>
    <xf numFmtId="4" fontId="0" fillId="5" borderId="2" xfId="0" applyNumberFormat="1" applyFill="1" applyBorder="1" applyAlignment="1" applyProtection="1">
      <alignment horizontal="center"/>
      <protection/>
    </xf>
    <xf numFmtId="4" fontId="0" fillId="6" borderId="2" xfId="0" applyNumberFormat="1" applyFill="1" applyBorder="1" applyAlignment="1" applyProtection="1">
      <alignment horizontal="center"/>
      <protection/>
    </xf>
    <xf numFmtId="1" fontId="0" fillId="6" borderId="2" xfId="0" applyNumberFormat="1" applyFill="1" applyBorder="1" applyAlignment="1" applyProtection="1">
      <alignment horizontal="center"/>
      <protection/>
    </xf>
    <xf numFmtId="0" fontId="8" fillId="2" borderId="0" xfId="0" applyFont="1" applyFill="1" applyProtection="1">
      <protection/>
    </xf>
    <xf numFmtId="0" fontId="2" fillId="2" borderId="3" xfId="0" applyFont="1" applyFill="1" applyBorder="1" applyAlignment="1" applyProtection="1">
      <alignment horizontal="center"/>
      <protection/>
    </xf>
    <xf numFmtId="0" fontId="0" fillId="2" borderId="4" xfId="0" applyFill="1" applyBorder="1" applyAlignment="1" applyProtection="1">
      <alignment horizontal="center" vertical="center"/>
      <protection/>
    </xf>
    <xf numFmtId="0" fontId="0" fillId="2" borderId="4" xfId="0" applyFill="1" applyBorder="1" applyAlignment="1" applyProtection="1">
      <alignment horizontal="center"/>
      <protection/>
    </xf>
    <xf numFmtId="0" fontId="0" fillId="2" borderId="4" xfId="0" applyNumberFormat="1" applyFill="1" applyBorder="1" applyAlignment="1" applyProtection="1">
      <alignment horizontal="center" vertical="center"/>
      <protection/>
    </xf>
    <xf numFmtId="0" fontId="0" fillId="2" borderId="4" xfId="0" applyFill="1" applyBorder="1" applyAlignment="1" applyProtection="1">
      <alignment horizontal="center" wrapText="1"/>
      <protection/>
    </xf>
    <xf numFmtId="0" fontId="0" fillId="2" borderId="4" xfId="0" applyFill="1" applyBorder="1" applyAlignment="1" applyProtection="1">
      <alignment horizontal="center" vertical="center" wrapText="1"/>
      <protection/>
    </xf>
    <xf numFmtId="0" fontId="2" fillId="0" borderId="0" xfId="0" applyFont="1" applyAlignment="1" applyProtection="1">
      <alignment horizontal="left"/>
      <protection/>
    </xf>
    <xf numFmtId="9" fontId="0" fillId="2" borderId="4" xfId="0" applyNumberFormat="1" applyFill="1" applyBorder="1" applyAlignment="1" applyProtection="1">
      <alignment horizontal="center"/>
      <protection/>
    </xf>
    <xf numFmtId="0" fontId="0" fillId="0" borderId="0" xfId="0" applyAlignment="1" applyProtection="1">
      <alignment/>
      <protection/>
    </xf>
    <xf numFmtId="0" fontId="0" fillId="2" borderId="5" xfId="0" applyFill="1" applyBorder="1" applyAlignment="1" applyProtection="1">
      <alignment horizontal="center"/>
      <protection/>
    </xf>
    <xf numFmtId="1" fontId="0" fillId="7" borderId="2" xfId="0" applyNumberFormat="1" applyFill="1" applyBorder="1" applyProtection="1">
      <protection/>
    </xf>
    <xf numFmtId="0" fontId="0" fillId="0" borderId="0" xfId="0" applyFill="1" applyProtection="1">
      <protection locked="0"/>
    </xf>
    <xf numFmtId="0" fontId="0" fillId="4" borderId="2" xfId="0" applyNumberFormat="1" applyFill="1" applyBorder="1" applyAlignment="1" applyProtection="1">
      <alignment horizontal="center" vertical="center"/>
      <protection/>
    </xf>
    <xf numFmtId="0" fontId="0" fillId="5" borderId="2" xfId="0" applyNumberFormat="1" applyFill="1" applyBorder="1" applyAlignment="1" applyProtection="1">
      <alignment horizontal="center" vertical="center"/>
      <protection/>
    </xf>
    <xf numFmtId="0" fontId="0" fillId="6" borderId="2" xfId="0" applyNumberFormat="1" applyFill="1" applyBorder="1" applyAlignment="1" applyProtection="1">
      <alignment horizontal="center" vertical="center"/>
      <protection/>
    </xf>
    <xf numFmtId="0" fontId="0" fillId="4" borderId="2" xfId="0" applyFill="1" applyBorder="1" applyAlignment="1" applyProtection="1">
      <alignment horizontal="center"/>
      <protection/>
    </xf>
    <xf numFmtId="0" fontId="0" fillId="5" borderId="2" xfId="0" applyFill="1" applyBorder="1" applyAlignment="1" applyProtection="1">
      <alignment horizontal="center"/>
      <protection/>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2"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left" wrapText="1"/>
      <protection/>
    </xf>
    <xf numFmtId="0" fontId="0" fillId="0" borderId="0" xfId="0" applyAlignment="1" applyProtection="1">
      <alignment horizontal="left" vertical="center" wrapText="1"/>
      <protection/>
    </xf>
    <xf numFmtId="0" fontId="0" fillId="0" borderId="0" xfId="0"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Proz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0</xdr:row>
      <xdr:rowOff>95250</xdr:rowOff>
    </xdr:from>
    <xdr:to>
      <xdr:col>18</xdr:col>
      <xdr:colOff>704850</xdr:colOff>
      <xdr:row>1</xdr:row>
      <xdr:rowOff>47625</xdr:rowOff>
    </xdr:to>
    <xdr:pic>
      <xdr:nvPicPr>
        <xdr:cNvPr id="2" name="Grafik 1" descr="Grütter Consult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782425" y="95250"/>
          <a:ext cx="1419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0</xdr:row>
      <xdr:rowOff>0</xdr:rowOff>
    </xdr:from>
    <xdr:to>
      <xdr:col>16</xdr:col>
      <xdr:colOff>666750</xdr:colOff>
      <xdr:row>1</xdr:row>
      <xdr:rowOff>247650</xdr:rowOff>
    </xdr:to>
    <xdr:pic>
      <xdr:nvPicPr>
        <xdr:cNvPr id="2" name="Grafik 1" descr="Grütter Consult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849475" y="0"/>
          <a:ext cx="1419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0</xdr:rowOff>
    </xdr:from>
    <xdr:to>
      <xdr:col>16</xdr:col>
      <xdr:colOff>628650</xdr:colOff>
      <xdr:row>1</xdr:row>
      <xdr:rowOff>276225</xdr:rowOff>
    </xdr:to>
    <xdr:pic>
      <xdr:nvPicPr>
        <xdr:cNvPr id="2" name="Grafik 1" descr="Grütter Consult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705975" y="0"/>
          <a:ext cx="1419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57150</xdr:rowOff>
    </xdr:from>
    <xdr:to>
      <xdr:col>18</xdr:col>
      <xdr:colOff>657225</xdr:colOff>
      <xdr:row>1</xdr:row>
      <xdr:rowOff>333375</xdr:rowOff>
    </xdr:to>
    <xdr:pic>
      <xdr:nvPicPr>
        <xdr:cNvPr id="2" name="Grafik 1" descr="Grütter Consult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877550" y="57150"/>
          <a:ext cx="1419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4"/>
  <sheetViews>
    <sheetView tabSelected="1" workbookViewId="0" topLeftCell="A1"/>
  </sheetViews>
  <sheetFormatPr defaultColWidth="11.421875" defaultRowHeight="15"/>
  <cols>
    <col min="1" max="1" width="6.28125" style="2" customWidth="1"/>
    <col min="2" max="2" width="11.421875" style="2" customWidth="1"/>
    <col min="3" max="3" width="30.8515625" style="2" customWidth="1"/>
    <col min="4" max="4" width="10.8515625" style="2" customWidth="1"/>
    <col min="5" max="5" width="4.57421875" style="2" customWidth="1"/>
    <col min="6" max="6" width="10.00390625" style="2" customWidth="1"/>
    <col min="7" max="7" width="4.140625" style="2" customWidth="1"/>
    <col min="8" max="8" width="10.28125" style="2" customWidth="1"/>
    <col min="9" max="9" width="4.8515625" style="2" customWidth="1"/>
    <col min="10" max="10" width="10.140625" style="2" customWidth="1"/>
    <col min="11" max="11" width="4.00390625" style="2" customWidth="1"/>
    <col min="12" max="16384" width="11.421875" style="2" customWidth="1"/>
  </cols>
  <sheetData>
    <row r="1" spans="1:17" ht="46.5">
      <c r="A1" s="1" t="s">
        <v>0</v>
      </c>
      <c r="P1" s="153"/>
      <c r="Q1" s="153"/>
    </row>
    <row r="2" ht="15">
      <c r="A2" s="3" t="s">
        <v>151</v>
      </c>
    </row>
    <row r="3" ht="15">
      <c r="A3" s="3"/>
    </row>
    <row r="4" spans="1:19" ht="21">
      <c r="A4" s="4" t="s">
        <v>78</v>
      </c>
      <c r="B4" s="5"/>
      <c r="C4" s="5"/>
      <c r="D4" s="5"/>
      <c r="E4" s="5"/>
      <c r="F4" s="5"/>
      <c r="G4" s="5"/>
      <c r="H4" s="5"/>
      <c r="I4" s="5"/>
      <c r="J4" s="5"/>
      <c r="K4" s="5"/>
      <c r="L4" s="5"/>
      <c r="M4" s="5"/>
      <c r="N4" s="5"/>
      <c r="O4" s="5"/>
      <c r="P4" s="5"/>
      <c r="Q4" s="5"/>
      <c r="R4" s="5"/>
      <c r="S4" s="5"/>
    </row>
    <row r="5" ht="15">
      <c r="A5" s="3"/>
    </row>
    <row r="6" spans="1:19" ht="42.75" customHeight="1">
      <c r="A6" s="155" t="s">
        <v>1</v>
      </c>
      <c r="B6" s="155"/>
      <c r="C6" s="155"/>
      <c r="D6" s="155"/>
      <c r="E6" s="155"/>
      <c r="F6" s="155"/>
      <c r="G6" s="155"/>
      <c r="H6" s="155"/>
      <c r="I6" s="155"/>
      <c r="J6" s="155"/>
      <c r="K6" s="155"/>
      <c r="L6" s="155"/>
      <c r="M6" s="155"/>
      <c r="N6" s="155"/>
      <c r="O6" s="155"/>
      <c r="P6" s="155"/>
      <c r="Q6" s="155"/>
      <c r="R6" s="155"/>
      <c r="S6" s="155"/>
    </row>
    <row r="7" spans="1:19" ht="42" customHeight="1">
      <c r="A7" s="155" t="s">
        <v>86</v>
      </c>
      <c r="B7" s="155"/>
      <c r="C7" s="155"/>
      <c r="D7" s="155"/>
      <c r="E7" s="155"/>
      <c r="F7" s="155"/>
      <c r="G7" s="155"/>
      <c r="H7" s="155"/>
      <c r="I7" s="155"/>
      <c r="J7" s="155"/>
      <c r="K7" s="155"/>
      <c r="L7" s="155"/>
      <c r="M7" s="155"/>
      <c r="N7" s="155"/>
      <c r="O7" s="155"/>
      <c r="P7" s="155"/>
      <c r="Q7" s="155"/>
      <c r="R7" s="155"/>
      <c r="S7" s="155"/>
    </row>
    <row r="8" spans="1:19" ht="27" customHeight="1">
      <c r="A8" s="155" t="s">
        <v>27</v>
      </c>
      <c r="B8" s="155"/>
      <c r="C8" s="155"/>
      <c r="D8" s="155"/>
      <c r="E8" s="155"/>
      <c r="F8" s="155"/>
      <c r="G8" s="155"/>
      <c r="H8" s="155"/>
      <c r="I8" s="155"/>
      <c r="J8" s="155"/>
      <c r="K8" s="155"/>
      <c r="L8" s="155"/>
      <c r="M8" s="155"/>
      <c r="N8" s="155"/>
      <c r="O8" s="155"/>
      <c r="P8" s="155"/>
      <c r="Q8" s="155"/>
      <c r="R8" s="155"/>
      <c r="S8" s="155"/>
    </row>
    <row r="9" spans="1:20" ht="27.75" customHeight="1">
      <c r="A9" s="155" t="s">
        <v>7</v>
      </c>
      <c r="B9" s="155"/>
      <c r="C9" s="155"/>
      <c r="D9" s="155"/>
      <c r="E9" s="155"/>
      <c r="F9" s="155"/>
      <c r="G9" s="155"/>
      <c r="H9" s="155"/>
      <c r="I9" s="155"/>
      <c r="J9" s="155"/>
      <c r="K9" s="155"/>
      <c r="L9" s="155"/>
      <c r="M9" s="155"/>
      <c r="N9" s="155"/>
      <c r="O9" s="155"/>
      <c r="P9" s="155"/>
      <c r="Q9" s="155"/>
      <c r="R9" s="155"/>
      <c r="T9" s="146"/>
    </row>
    <row r="10" spans="1:20" ht="30.75" customHeight="1">
      <c r="A10" s="155" t="s">
        <v>3</v>
      </c>
      <c r="B10" s="155"/>
      <c r="C10" s="155"/>
      <c r="D10" s="155"/>
      <c r="E10" s="155"/>
      <c r="F10" s="155"/>
      <c r="G10" s="155"/>
      <c r="H10" s="155"/>
      <c r="I10" s="155"/>
      <c r="J10" s="155"/>
      <c r="K10" s="155"/>
      <c r="L10" s="155"/>
      <c r="M10" s="155"/>
      <c r="N10" s="155"/>
      <c r="O10" s="155"/>
      <c r="P10" s="155"/>
      <c r="Q10" s="155"/>
      <c r="R10" s="155"/>
      <c r="S10" s="155"/>
      <c r="T10" s="146"/>
    </row>
    <row r="11" spans="1:20" ht="29.25" customHeight="1">
      <c r="A11" s="155" t="s">
        <v>6</v>
      </c>
      <c r="B11" s="155"/>
      <c r="C11" s="155"/>
      <c r="D11" s="155"/>
      <c r="E11" s="155"/>
      <c r="F11" s="155"/>
      <c r="G11" s="155"/>
      <c r="H11" s="155"/>
      <c r="I11" s="155"/>
      <c r="J11" s="155"/>
      <c r="K11" s="155"/>
      <c r="L11" s="155"/>
      <c r="M11" s="155"/>
      <c r="N11" s="155"/>
      <c r="O11" s="155"/>
      <c r="P11" s="155"/>
      <c r="Q11" s="155"/>
      <c r="R11" s="155"/>
      <c r="T11" s="146"/>
    </row>
    <row r="12" spans="1:20" ht="29.25" customHeight="1">
      <c r="A12" s="155" t="s">
        <v>5</v>
      </c>
      <c r="B12" s="155"/>
      <c r="C12" s="155"/>
      <c r="D12" s="155"/>
      <c r="E12" s="155"/>
      <c r="F12" s="155"/>
      <c r="G12" s="155"/>
      <c r="H12" s="155"/>
      <c r="I12" s="155"/>
      <c r="J12" s="155"/>
      <c r="K12" s="155"/>
      <c r="L12" s="155"/>
      <c r="M12" s="155"/>
      <c r="N12" s="155"/>
      <c r="O12" s="155"/>
      <c r="P12" s="155"/>
      <c r="Q12" s="155"/>
      <c r="T12" s="146"/>
    </row>
    <row r="13" spans="1:19" ht="30" customHeight="1">
      <c r="A13" s="156" t="s">
        <v>28</v>
      </c>
      <c r="B13" s="156"/>
      <c r="C13" s="156"/>
      <c r="D13" s="156"/>
      <c r="E13" s="156"/>
      <c r="F13" s="156"/>
      <c r="G13" s="156"/>
      <c r="H13" s="156"/>
      <c r="I13" s="156"/>
      <c r="J13" s="156"/>
      <c r="K13" s="156"/>
      <c r="L13" s="156"/>
      <c r="M13" s="156"/>
      <c r="N13" s="156"/>
      <c r="O13" s="156"/>
      <c r="P13" s="156"/>
      <c r="Q13" s="156"/>
      <c r="R13" s="156"/>
      <c r="S13" s="156"/>
    </row>
    <row r="15" spans="1:19" ht="21">
      <c r="A15" s="6" t="s">
        <v>26</v>
      </c>
      <c r="B15" s="6"/>
      <c r="C15" s="7"/>
      <c r="D15" s="8"/>
      <c r="E15" s="8"/>
      <c r="F15" s="8"/>
      <c r="G15" s="8"/>
      <c r="H15" s="8"/>
      <c r="I15" s="8"/>
      <c r="J15" s="8"/>
      <c r="K15" s="8"/>
      <c r="L15" s="8"/>
      <c r="M15" s="8"/>
      <c r="N15" s="8"/>
      <c r="O15" s="8"/>
      <c r="P15" s="8"/>
      <c r="Q15" s="8"/>
      <c r="R15" s="5"/>
      <c r="S15" s="5"/>
    </row>
    <row r="16" ht="18.75" customHeight="1"/>
    <row r="17" spans="1:12" ht="30">
      <c r="A17" s="9" t="s">
        <v>2</v>
      </c>
      <c r="B17" s="10" t="s">
        <v>29</v>
      </c>
      <c r="C17" s="11"/>
      <c r="D17" s="12" t="s">
        <v>33</v>
      </c>
      <c r="E17" s="11"/>
      <c r="F17" s="13" t="s">
        <v>32</v>
      </c>
      <c r="G17" s="11"/>
      <c r="H17" s="14" t="s">
        <v>30</v>
      </c>
      <c r="I17" s="11"/>
      <c r="J17" s="15" t="s">
        <v>31</v>
      </c>
      <c r="K17" s="11"/>
      <c r="L17" s="10" t="s">
        <v>34</v>
      </c>
    </row>
    <row r="18" spans="4:10" ht="15">
      <c r="D18" s="16"/>
      <c r="E18" s="66"/>
      <c r="F18" s="17"/>
      <c r="G18" s="66"/>
      <c r="H18" s="18"/>
      <c r="I18" s="66"/>
      <c r="J18" s="19"/>
    </row>
    <row r="19" spans="1:20" ht="15">
      <c r="A19" s="63">
        <v>1</v>
      </c>
      <c r="B19" s="2" t="s">
        <v>109</v>
      </c>
      <c r="D19" s="58"/>
      <c r="E19" s="66"/>
      <c r="F19" s="59"/>
      <c r="G19" s="66"/>
      <c r="H19" s="59"/>
      <c r="I19" s="66"/>
      <c r="J19" s="59"/>
      <c r="L19" s="152" t="s">
        <v>111</v>
      </c>
      <c r="M19" s="152"/>
      <c r="N19" s="152"/>
      <c r="O19" s="152"/>
      <c r="P19" s="152"/>
      <c r="Q19" s="152"/>
      <c r="R19" s="152"/>
      <c r="S19" s="152"/>
      <c r="T19" s="152"/>
    </row>
    <row r="20" spans="1:10" ht="15">
      <c r="A20" s="63"/>
      <c r="D20" s="30"/>
      <c r="E20" s="66"/>
      <c r="F20" s="17"/>
      <c r="G20" s="66"/>
      <c r="H20" s="18"/>
      <c r="I20" s="66"/>
      <c r="J20" s="19"/>
    </row>
    <row r="21" spans="1:19" ht="15">
      <c r="A21" s="63">
        <v>2</v>
      </c>
      <c r="B21" s="2" t="s">
        <v>110</v>
      </c>
      <c r="D21" s="58"/>
      <c r="E21" s="66"/>
      <c r="F21" s="59"/>
      <c r="G21" s="66"/>
      <c r="H21" s="59"/>
      <c r="I21" s="66"/>
      <c r="J21" s="59"/>
      <c r="L21" s="152" t="s">
        <v>112</v>
      </c>
      <c r="M21" s="152"/>
      <c r="N21" s="152"/>
      <c r="O21" s="152"/>
      <c r="P21" s="152"/>
      <c r="Q21" s="152"/>
      <c r="R21" s="152"/>
      <c r="S21" s="152"/>
    </row>
    <row r="22" spans="1:10" ht="15">
      <c r="A22" s="63"/>
      <c r="D22" s="16"/>
      <c r="E22" s="66"/>
      <c r="F22" s="17"/>
      <c r="G22" s="66"/>
      <c r="H22" s="18"/>
      <c r="I22" s="66"/>
      <c r="J22" s="19"/>
    </row>
    <row r="23" spans="1:19" ht="15">
      <c r="A23" s="63">
        <v>3</v>
      </c>
      <c r="B23" s="2" t="s">
        <v>4</v>
      </c>
      <c r="D23" s="57">
        <v>100000</v>
      </c>
      <c r="E23" s="66"/>
      <c r="F23" s="53">
        <f>D23</f>
        <v>100000</v>
      </c>
      <c r="G23" s="66"/>
      <c r="H23" s="53">
        <f>D23</f>
        <v>100000</v>
      </c>
      <c r="I23" s="66"/>
      <c r="J23" s="53">
        <f>D23</f>
        <v>100000</v>
      </c>
      <c r="L23" s="152" t="s">
        <v>8</v>
      </c>
      <c r="M23" s="152"/>
      <c r="N23" s="152"/>
      <c r="O23" s="152"/>
      <c r="P23" s="152"/>
      <c r="Q23" s="152"/>
      <c r="R23" s="152"/>
      <c r="S23" s="152"/>
    </row>
    <row r="24" spans="1:10" ht="15">
      <c r="A24" s="63"/>
      <c r="D24" s="21"/>
      <c r="E24" s="66"/>
      <c r="F24" s="22"/>
      <c r="G24" s="66"/>
      <c r="H24" s="23"/>
      <c r="I24" s="66"/>
      <c r="J24" s="24"/>
    </row>
    <row r="25" spans="1:19" ht="30" customHeight="1">
      <c r="A25" s="20">
        <v>4</v>
      </c>
      <c r="B25" s="25" t="s">
        <v>18</v>
      </c>
      <c r="C25" s="25"/>
      <c r="D25" s="54">
        <v>100</v>
      </c>
      <c r="E25" s="26"/>
      <c r="F25" s="58"/>
      <c r="G25" s="26"/>
      <c r="H25" s="58"/>
      <c r="I25" s="26"/>
      <c r="J25" s="58"/>
      <c r="L25" s="154" t="s">
        <v>117</v>
      </c>
      <c r="M25" s="154"/>
      <c r="N25" s="154"/>
      <c r="O25" s="154"/>
      <c r="P25" s="154"/>
      <c r="Q25" s="154"/>
      <c r="R25" s="154"/>
      <c r="S25" s="154"/>
    </row>
    <row r="26" spans="1:10" ht="15">
      <c r="A26" s="63"/>
      <c r="D26" s="16"/>
      <c r="E26" s="66"/>
      <c r="F26" s="17"/>
      <c r="G26" s="66"/>
      <c r="H26" s="18"/>
      <c r="I26" s="66"/>
      <c r="J26" s="19"/>
    </row>
    <row r="27" spans="1:19" ht="15">
      <c r="A27" s="20">
        <v>5</v>
      </c>
      <c r="B27" s="25" t="s">
        <v>9</v>
      </c>
      <c r="C27" s="25"/>
      <c r="D27" s="58"/>
      <c r="E27" s="26"/>
      <c r="F27" s="54">
        <f>D27</f>
        <v>0</v>
      </c>
      <c r="G27" s="26"/>
      <c r="H27" s="54">
        <f>D27</f>
        <v>0</v>
      </c>
      <c r="I27" s="26"/>
      <c r="J27" s="54">
        <f>D27</f>
        <v>0</v>
      </c>
      <c r="L27" s="154" t="s">
        <v>38</v>
      </c>
      <c r="M27" s="154"/>
      <c r="N27" s="154"/>
      <c r="O27" s="154"/>
      <c r="P27" s="154"/>
      <c r="Q27" s="154"/>
      <c r="R27" s="154"/>
      <c r="S27" s="154"/>
    </row>
    <row r="28" spans="1:10" ht="15">
      <c r="A28" s="63"/>
      <c r="D28" s="16"/>
      <c r="E28" s="66"/>
      <c r="F28" s="17"/>
      <c r="G28" s="66"/>
      <c r="H28" s="18"/>
      <c r="I28" s="66"/>
      <c r="J28" s="19"/>
    </row>
    <row r="29" spans="1:19" ht="27.75" customHeight="1">
      <c r="A29" s="20">
        <v>6</v>
      </c>
      <c r="B29" s="25" t="s">
        <v>50</v>
      </c>
      <c r="C29" s="25"/>
      <c r="D29" s="61"/>
      <c r="E29" s="26"/>
      <c r="F29" s="60">
        <f>D29</f>
        <v>0</v>
      </c>
      <c r="G29" s="26"/>
      <c r="H29" s="60">
        <f>F29</f>
        <v>0</v>
      </c>
      <c r="I29" s="26"/>
      <c r="J29" s="60">
        <f>D29</f>
        <v>0</v>
      </c>
      <c r="L29" s="154" t="s">
        <v>113</v>
      </c>
      <c r="M29" s="154"/>
      <c r="N29" s="154"/>
      <c r="O29" s="154"/>
      <c r="P29" s="154"/>
      <c r="Q29" s="154"/>
      <c r="R29" s="154"/>
      <c r="S29" s="154"/>
    </row>
    <row r="30" spans="1:10" ht="15">
      <c r="A30" s="63"/>
      <c r="D30" s="16"/>
      <c r="E30" s="66"/>
      <c r="F30" s="17"/>
      <c r="G30" s="66"/>
      <c r="H30" s="18"/>
      <c r="I30" s="66"/>
      <c r="J30" s="19"/>
    </row>
    <row r="31" spans="1:19" ht="26.25" customHeight="1">
      <c r="A31" s="20">
        <v>7</v>
      </c>
      <c r="B31" s="25" t="s">
        <v>10</v>
      </c>
      <c r="C31" s="25"/>
      <c r="D31" s="62"/>
      <c r="E31" s="26"/>
      <c r="F31" s="62"/>
      <c r="G31" s="26"/>
      <c r="H31" s="62"/>
      <c r="I31" s="26"/>
      <c r="J31" s="62"/>
      <c r="L31" s="154" t="s">
        <v>116</v>
      </c>
      <c r="M31" s="154"/>
      <c r="N31" s="154"/>
      <c r="O31" s="154"/>
      <c r="P31" s="154"/>
      <c r="Q31" s="154"/>
      <c r="R31" s="154"/>
      <c r="S31" s="154"/>
    </row>
    <row r="32" spans="1:10" ht="15">
      <c r="A32" s="63"/>
      <c r="D32" s="21"/>
      <c r="E32" s="66"/>
      <c r="F32" s="22"/>
      <c r="G32" s="66"/>
      <c r="H32" s="23"/>
      <c r="I32" s="66"/>
      <c r="J32" s="24"/>
    </row>
    <row r="33" spans="1:19" ht="27" customHeight="1">
      <c r="A33" s="20">
        <v>8</v>
      </c>
      <c r="B33" s="25" t="s">
        <v>17</v>
      </c>
      <c r="C33" s="25"/>
      <c r="D33" s="27"/>
      <c r="E33" s="26"/>
      <c r="F33" s="28"/>
      <c r="G33" s="26"/>
      <c r="H33" s="62"/>
      <c r="I33" s="29"/>
      <c r="J33" s="62"/>
      <c r="L33" s="154" t="s">
        <v>115</v>
      </c>
      <c r="M33" s="154"/>
      <c r="N33" s="154"/>
      <c r="O33" s="154"/>
      <c r="P33" s="154"/>
      <c r="Q33" s="154"/>
      <c r="R33" s="154"/>
      <c r="S33" s="154"/>
    </row>
    <row r="34" spans="1:10" ht="15">
      <c r="A34" s="63"/>
      <c r="D34" s="16"/>
      <c r="E34" s="66"/>
      <c r="F34" s="17"/>
      <c r="G34" s="66"/>
      <c r="H34" s="18"/>
      <c r="I34" s="66"/>
      <c r="J34" s="19"/>
    </row>
    <row r="35" spans="1:19" ht="30.75" customHeight="1">
      <c r="A35" s="20">
        <v>9</v>
      </c>
      <c r="B35" s="25" t="s">
        <v>12</v>
      </c>
      <c r="C35" s="25"/>
      <c r="D35" s="30"/>
      <c r="E35" s="26"/>
      <c r="F35" s="62"/>
      <c r="G35" s="26"/>
      <c r="H35" s="62"/>
      <c r="I35" s="26"/>
      <c r="J35" s="62"/>
      <c r="L35" s="154" t="s">
        <v>114</v>
      </c>
      <c r="M35" s="154"/>
      <c r="N35" s="154"/>
      <c r="O35" s="154"/>
      <c r="P35" s="154"/>
      <c r="Q35" s="154"/>
      <c r="R35" s="154"/>
      <c r="S35" s="154"/>
    </row>
    <row r="36" spans="1:10" ht="15">
      <c r="A36" s="63"/>
      <c r="D36" s="16"/>
      <c r="E36" s="66"/>
      <c r="F36" s="17"/>
      <c r="G36" s="66"/>
      <c r="H36" s="18"/>
      <c r="I36" s="66"/>
      <c r="J36" s="19"/>
    </row>
    <row r="37" spans="1:19" ht="29.25" customHeight="1">
      <c r="A37" s="20">
        <v>10</v>
      </c>
      <c r="B37" s="25" t="s">
        <v>11</v>
      </c>
      <c r="C37" s="25"/>
      <c r="D37" s="30"/>
      <c r="E37" s="26"/>
      <c r="F37" s="58"/>
      <c r="G37" s="26"/>
      <c r="H37" s="58"/>
      <c r="I37" s="26"/>
      <c r="J37" s="58"/>
      <c r="L37" s="154" t="s">
        <v>39</v>
      </c>
      <c r="M37" s="154"/>
      <c r="N37" s="154"/>
      <c r="O37" s="154"/>
      <c r="P37" s="154"/>
      <c r="Q37" s="154"/>
      <c r="R37" s="154"/>
      <c r="S37" s="154"/>
    </row>
    <row r="38" spans="1:10" ht="15">
      <c r="A38" s="63"/>
      <c r="D38" s="16"/>
      <c r="E38" s="66"/>
      <c r="F38" s="17"/>
      <c r="G38" s="66"/>
      <c r="H38" s="18"/>
      <c r="I38" s="66"/>
      <c r="J38" s="19"/>
    </row>
    <row r="39" spans="1:19" ht="15">
      <c r="A39" s="20">
        <v>11</v>
      </c>
      <c r="B39" s="25" t="s">
        <v>14</v>
      </c>
      <c r="C39" s="25"/>
      <c r="D39" s="27"/>
      <c r="E39" s="26"/>
      <c r="F39" s="64"/>
      <c r="G39" s="31"/>
      <c r="H39" s="64"/>
      <c r="I39" s="31"/>
      <c r="J39" s="64"/>
      <c r="L39" s="154" t="s">
        <v>118</v>
      </c>
      <c r="M39" s="154"/>
      <c r="N39" s="154"/>
      <c r="O39" s="154"/>
      <c r="P39" s="154"/>
      <c r="Q39" s="154"/>
      <c r="R39" s="154"/>
      <c r="S39" s="154"/>
    </row>
    <row r="40" spans="1:10" ht="15">
      <c r="A40" s="63"/>
      <c r="D40" s="16"/>
      <c r="E40" s="66"/>
      <c r="F40" s="32"/>
      <c r="G40" s="33"/>
      <c r="H40" s="34"/>
      <c r="I40" s="33"/>
      <c r="J40" s="35"/>
    </row>
    <row r="41" spans="1:19" ht="15" customHeight="1">
      <c r="A41" s="20">
        <v>12</v>
      </c>
      <c r="B41" s="25" t="s">
        <v>13</v>
      </c>
      <c r="C41" s="25"/>
      <c r="D41" s="64"/>
      <c r="E41" s="31"/>
      <c r="F41" s="62">
        <f>D41</f>
        <v>0</v>
      </c>
      <c r="G41" s="31"/>
      <c r="H41" s="62">
        <f>D41</f>
        <v>0</v>
      </c>
      <c r="I41" s="31"/>
      <c r="J41" s="62">
        <f>1.2*D41</f>
        <v>0</v>
      </c>
      <c r="L41" s="154" t="s">
        <v>120</v>
      </c>
      <c r="M41" s="154"/>
      <c r="N41" s="154"/>
      <c r="O41" s="154"/>
      <c r="P41" s="154"/>
      <c r="Q41" s="154"/>
      <c r="R41" s="154"/>
      <c r="S41" s="154"/>
    </row>
    <row r="42" spans="1:10" ht="15">
      <c r="A42" s="63"/>
      <c r="D42" s="16"/>
      <c r="E42" s="66"/>
      <c r="F42" s="17"/>
      <c r="G42" s="66"/>
      <c r="H42" s="18"/>
      <c r="I42" s="66"/>
      <c r="J42" s="19"/>
    </row>
    <row r="43" spans="1:19" ht="15">
      <c r="A43" s="20">
        <v>13</v>
      </c>
      <c r="B43" s="25" t="s">
        <v>16</v>
      </c>
      <c r="C43" s="25"/>
      <c r="D43" s="36"/>
      <c r="E43" s="31"/>
      <c r="F43" s="37"/>
      <c r="G43" s="31"/>
      <c r="H43" s="64"/>
      <c r="I43" s="31"/>
      <c r="J43" s="64"/>
      <c r="K43" s="25"/>
      <c r="L43" s="154" t="s">
        <v>119</v>
      </c>
      <c r="M43" s="154"/>
      <c r="N43" s="154"/>
      <c r="O43" s="154"/>
      <c r="P43" s="154"/>
      <c r="Q43" s="154"/>
      <c r="R43" s="154"/>
      <c r="S43" s="154"/>
    </row>
    <row r="44" spans="1:10" ht="15">
      <c r="A44" s="63"/>
      <c r="D44" s="38"/>
      <c r="E44" s="33"/>
      <c r="F44" s="32"/>
      <c r="G44" s="33"/>
      <c r="H44" s="34"/>
      <c r="I44" s="33"/>
      <c r="J44" s="35"/>
    </row>
    <row r="45" spans="1:10" ht="15">
      <c r="A45" s="20">
        <v>14</v>
      </c>
      <c r="B45" s="2" t="s">
        <v>35</v>
      </c>
      <c r="D45" s="16"/>
      <c r="E45" s="66"/>
      <c r="F45" s="17"/>
      <c r="G45" s="66"/>
      <c r="H45" s="39"/>
      <c r="I45" s="33"/>
      <c r="J45" s="65"/>
    </row>
    <row r="46" spans="1:10" ht="15">
      <c r="A46" s="63"/>
      <c r="D46" s="16"/>
      <c r="E46" s="66"/>
      <c r="F46" s="17"/>
      <c r="G46" s="66"/>
      <c r="H46" s="39"/>
      <c r="I46" s="33"/>
      <c r="J46" s="40"/>
    </row>
    <row r="47" spans="1:19" ht="15">
      <c r="A47" s="63">
        <v>15</v>
      </c>
      <c r="B47" s="2" t="s">
        <v>19</v>
      </c>
      <c r="D47" s="16"/>
      <c r="E47" s="66"/>
      <c r="F47" s="17"/>
      <c r="G47" s="66"/>
      <c r="H47" s="59">
        <v>0</v>
      </c>
      <c r="I47" s="66"/>
      <c r="J47" s="19"/>
      <c r="L47" s="152" t="s">
        <v>121</v>
      </c>
      <c r="M47" s="152"/>
      <c r="N47" s="152"/>
      <c r="O47" s="152"/>
      <c r="P47" s="152"/>
      <c r="Q47" s="152"/>
      <c r="R47" s="152"/>
      <c r="S47" s="152"/>
    </row>
    <row r="48" spans="1:10" ht="15">
      <c r="A48" s="63"/>
      <c r="D48" s="16"/>
      <c r="E48" s="66"/>
      <c r="F48" s="17"/>
      <c r="G48" s="66"/>
      <c r="H48" s="18"/>
      <c r="I48" s="66"/>
      <c r="J48" s="19">
        <v>1</v>
      </c>
    </row>
    <row r="49" spans="1:18" ht="15">
      <c r="A49" s="63">
        <v>16</v>
      </c>
      <c r="B49" s="2" t="s">
        <v>36</v>
      </c>
      <c r="D49" s="16"/>
      <c r="E49" s="66"/>
      <c r="F49" s="17"/>
      <c r="G49" s="66"/>
      <c r="H49" s="59"/>
      <c r="I49" s="66"/>
      <c r="J49" s="19"/>
      <c r="L49" s="152" t="s">
        <v>122</v>
      </c>
      <c r="M49" s="152"/>
      <c r="N49" s="152"/>
      <c r="O49" s="152"/>
      <c r="P49" s="152"/>
      <c r="Q49" s="152"/>
      <c r="R49" s="152"/>
    </row>
    <row r="50" spans="1:10" ht="15">
      <c r="A50" s="63"/>
      <c r="D50" s="16"/>
      <c r="E50" s="66"/>
      <c r="F50" s="17"/>
      <c r="G50" s="66"/>
      <c r="H50" s="18"/>
      <c r="I50" s="66"/>
      <c r="J50" s="19"/>
    </row>
    <row r="51" spans="1:18" ht="18">
      <c r="A51" s="63">
        <v>17</v>
      </c>
      <c r="B51" s="2" t="s">
        <v>45</v>
      </c>
      <c r="D51" s="16"/>
      <c r="E51" s="66"/>
      <c r="F51" s="17"/>
      <c r="G51" s="66"/>
      <c r="H51" s="67"/>
      <c r="I51" s="41"/>
      <c r="J51" s="67"/>
      <c r="L51" s="152" t="s">
        <v>123</v>
      </c>
      <c r="M51" s="152"/>
      <c r="N51" s="152"/>
      <c r="O51" s="152"/>
      <c r="P51" s="152"/>
      <c r="Q51" s="152"/>
      <c r="R51" s="152"/>
    </row>
    <row r="52" spans="1:10" ht="15">
      <c r="A52" s="63"/>
      <c r="D52" s="42"/>
      <c r="F52" s="43"/>
      <c r="H52" s="44"/>
      <c r="J52" s="45"/>
    </row>
    <row r="53" spans="1:19" ht="15">
      <c r="A53" s="20">
        <v>18</v>
      </c>
      <c r="B53" s="25" t="s">
        <v>15</v>
      </c>
      <c r="C53" s="25"/>
      <c r="D53" s="64"/>
      <c r="E53" s="31"/>
      <c r="F53" s="55">
        <f>D53</f>
        <v>0</v>
      </c>
      <c r="G53" s="31"/>
      <c r="H53" s="55">
        <f>D53</f>
        <v>0</v>
      </c>
      <c r="I53" s="33"/>
      <c r="J53" s="40"/>
      <c r="L53" s="154" t="s">
        <v>124</v>
      </c>
      <c r="M53" s="154"/>
      <c r="N53" s="154"/>
      <c r="O53" s="154"/>
      <c r="P53" s="154"/>
      <c r="Q53" s="154"/>
      <c r="R53" s="154"/>
      <c r="S53" s="154"/>
    </row>
    <row r="54" spans="1:10" ht="15">
      <c r="A54" s="63"/>
      <c r="D54" s="16"/>
      <c r="E54" s="66"/>
      <c r="F54" s="17"/>
      <c r="G54" s="66"/>
      <c r="H54" s="18"/>
      <c r="I54" s="66"/>
      <c r="J54" s="19"/>
    </row>
    <row r="55" spans="1:19" ht="15">
      <c r="A55" s="63">
        <v>19</v>
      </c>
      <c r="B55" s="2" t="s">
        <v>37</v>
      </c>
      <c r="D55" s="68">
        <v>100</v>
      </c>
      <c r="E55" s="46"/>
      <c r="F55" s="68">
        <v>80</v>
      </c>
      <c r="G55" s="46"/>
      <c r="H55" s="68"/>
      <c r="I55" s="46"/>
      <c r="J55" s="47"/>
      <c r="L55" s="63" t="s">
        <v>40</v>
      </c>
      <c r="M55" s="63"/>
      <c r="N55" s="63"/>
      <c r="O55" s="63"/>
      <c r="P55" s="63"/>
      <c r="Q55" s="63"/>
      <c r="R55" s="63"/>
      <c r="S55" s="63"/>
    </row>
    <row r="56" ht="15">
      <c r="A56" s="63"/>
    </row>
    <row r="57" spans="9:17" ht="15">
      <c r="I57" s="63" t="s">
        <v>89</v>
      </c>
      <c r="J57" s="63"/>
      <c r="K57" s="63"/>
      <c r="L57" s="63"/>
      <c r="M57" s="48"/>
      <c r="N57" s="49"/>
      <c r="O57" s="2" t="s">
        <v>20</v>
      </c>
      <c r="P57" s="145" t="e">
        <f>1/N57*100</f>
        <v>#DIV/0!</v>
      </c>
      <c r="Q57" s="2" t="s">
        <v>21</v>
      </c>
    </row>
    <row r="58" spans="14:16" ht="15">
      <c r="N58" s="50"/>
      <c r="P58" s="51"/>
    </row>
    <row r="59" spans="9:17" ht="15">
      <c r="I59" s="63" t="s">
        <v>90</v>
      </c>
      <c r="J59" s="63"/>
      <c r="K59" s="63"/>
      <c r="L59" s="63"/>
      <c r="M59" s="48"/>
      <c r="N59" s="49"/>
      <c r="O59" s="2" t="s">
        <v>22</v>
      </c>
      <c r="P59" s="145" t="e">
        <f>1/(N59/3.7854)*100</f>
        <v>#DIV/0!</v>
      </c>
      <c r="Q59" s="2" t="s">
        <v>21</v>
      </c>
    </row>
    <row r="60" spans="14:16" ht="15">
      <c r="N60" s="50"/>
      <c r="P60" s="51"/>
    </row>
    <row r="61" spans="1:17" ht="15">
      <c r="A61" s="63"/>
      <c r="D61" s="52"/>
      <c r="E61" s="52"/>
      <c r="F61" s="52"/>
      <c r="G61" s="52"/>
      <c r="H61" s="52"/>
      <c r="I61" s="63" t="s">
        <v>41</v>
      </c>
      <c r="J61" s="63"/>
      <c r="K61" s="63"/>
      <c r="L61" s="63"/>
      <c r="M61" s="48"/>
      <c r="N61" s="49"/>
      <c r="O61" s="2" t="s">
        <v>23</v>
      </c>
      <c r="P61" s="145" t="e">
        <f>1/(N61/3.7854*1.6093)*100</f>
        <v>#DIV/0!</v>
      </c>
      <c r="Q61" s="2" t="s">
        <v>21</v>
      </c>
    </row>
    <row r="62" ht="15">
      <c r="P62" s="71"/>
    </row>
    <row r="64" spans="1:19" ht="18">
      <c r="A64" s="63">
        <v>20</v>
      </c>
      <c r="B64" s="2" t="s">
        <v>128</v>
      </c>
      <c r="F64" s="56"/>
      <c r="L64" s="152" t="s">
        <v>127</v>
      </c>
      <c r="M64" s="152"/>
      <c r="N64" s="152"/>
      <c r="O64" s="152"/>
      <c r="P64" s="152"/>
      <c r="Q64" s="152"/>
      <c r="R64" s="152"/>
      <c r="S64" s="152"/>
    </row>
  </sheetData>
  <mergeCells count="27">
    <mergeCell ref="A7:S7"/>
    <mergeCell ref="A8:S8"/>
    <mergeCell ref="A9:R9"/>
    <mergeCell ref="A10:S10"/>
    <mergeCell ref="L27:S27"/>
    <mergeCell ref="A11:R11"/>
    <mergeCell ref="L19:T19"/>
    <mergeCell ref="L21:S21"/>
    <mergeCell ref="L23:S23"/>
    <mergeCell ref="L25:S25"/>
    <mergeCell ref="A13:S13"/>
    <mergeCell ref="L64:S64"/>
    <mergeCell ref="L51:R51"/>
    <mergeCell ref="L49:R49"/>
    <mergeCell ref="P1:Q1"/>
    <mergeCell ref="L29:S29"/>
    <mergeCell ref="L31:S31"/>
    <mergeCell ref="L33:S33"/>
    <mergeCell ref="L35:S35"/>
    <mergeCell ref="L37:S37"/>
    <mergeCell ref="L39:S39"/>
    <mergeCell ref="L41:S41"/>
    <mergeCell ref="L43:S43"/>
    <mergeCell ref="L47:S47"/>
    <mergeCell ref="L53:S53"/>
    <mergeCell ref="A12:Q12"/>
    <mergeCell ref="A6:S6"/>
  </mergeCells>
  <dataValidations count="14">
    <dataValidation type="list" showInputMessage="1" sqref="D23">
      <formula1>"60000,80000"</formula1>
    </dataValidation>
    <dataValidation type="list" showInputMessage="1" sqref="F25 H25">
      <formula1>"100"</formula1>
    </dataValidation>
    <dataValidation type="list" showInputMessage="1" sqref="J25">
      <formula1>"80"</formula1>
    </dataValidation>
    <dataValidation type="list" allowBlank="1" showInputMessage="1" sqref="D27">
      <formula1>"12"</formula1>
    </dataValidation>
    <dataValidation type="list" showInputMessage="1" sqref="D29">
      <formula1>"2.5%"</formula1>
    </dataValidation>
    <dataValidation showInputMessage="1" sqref="F31 H33 J33 F39 H39 H55 F55 F41 J35 H35 F35 J39 J31 H31"/>
    <dataValidation type="list" showInputMessage="1" sqref="F37 H37 J37">
      <formula1>"8"</formula1>
    </dataValidation>
    <dataValidation type="list" showInputMessage="1" sqref="J45">
      <formula1>"1"</formula1>
    </dataValidation>
    <dataValidation type="list" showInputMessage="1" sqref="H49">
      <formula1>"40,60"</formula1>
    </dataValidation>
    <dataValidation type="list" showInputMessage="1" sqref="H51 J51">
      <formula1>"0.6"</formula1>
    </dataValidation>
    <dataValidation showInputMessage="1" sqref="H41"/>
    <dataValidation showInputMessage="1" sqref="J41"/>
    <dataValidation type="list" showInputMessage="1" sqref="H47">
      <formula1>"1,2"</formula1>
    </dataValidation>
    <dataValidation type="list" showInputMessage="1" sqref="D55">
      <formula1>"46,71"</formula1>
    </dataValidation>
  </dataValidations>
  <printOptions/>
  <pageMargins left="0.7" right="0.7" top="0.787401575" bottom="0.7874015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topLeftCell="A39">
      <selection activeCell="G57" sqref="G57:Q57"/>
    </sheetView>
  </sheetViews>
  <sheetFormatPr defaultColWidth="11.421875" defaultRowHeight="15"/>
  <cols>
    <col min="1" max="1" width="4.28125" style="71" customWidth="1"/>
    <col min="2" max="2" width="3.28125" style="71" customWidth="1"/>
    <col min="3" max="3" width="39.57421875" style="71" customWidth="1"/>
    <col min="4" max="4" width="4.28125" style="71" customWidth="1"/>
    <col min="5" max="5" width="63.421875" style="71" customWidth="1"/>
    <col min="6" max="6" width="4.8515625" style="71" customWidth="1"/>
    <col min="7" max="16384" width="11.421875" style="71" customWidth="1"/>
  </cols>
  <sheetData>
    <row r="1" spans="1:17" ht="21">
      <c r="A1" s="69" t="s">
        <v>42</v>
      </c>
      <c r="B1" s="134"/>
      <c r="C1" s="134"/>
      <c r="D1" s="70"/>
      <c r="E1" s="70"/>
      <c r="F1" s="70"/>
      <c r="G1" s="157"/>
      <c r="H1" s="157"/>
      <c r="I1" s="70"/>
      <c r="J1" s="157"/>
      <c r="K1" s="157"/>
      <c r="L1" s="70"/>
      <c r="M1" s="70"/>
      <c r="N1" s="70"/>
      <c r="O1" s="70"/>
      <c r="P1" s="70"/>
      <c r="Q1" s="70"/>
    </row>
    <row r="2" spans="10:11" ht="22.5" customHeight="1">
      <c r="J2" s="158"/>
      <c r="K2" s="158"/>
    </row>
    <row r="3" spans="1:7" ht="15">
      <c r="A3" s="76" t="s">
        <v>2</v>
      </c>
      <c r="B3" s="76"/>
      <c r="C3" s="76" t="s">
        <v>29</v>
      </c>
      <c r="D3" s="76"/>
      <c r="E3" s="135" t="s">
        <v>43</v>
      </c>
      <c r="F3" s="76"/>
      <c r="G3" s="76" t="s">
        <v>44</v>
      </c>
    </row>
    <row r="4" spans="1:17" ht="30.75" customHeight="1">
      <c r="A4" s="115">
        <v>3</v>
      </c>
      <c r="B4" s="116"/>
      <c r="C4" s="116" t="s">
        <v>4</v>
      </c>
      <c r="D4" s="116"/>
      <c r="E4" s="136" t="s">
        <v>46</v>
      </c>
      <c r="G4" s="160" t="s">
        <v>47</v>
      </c>
      <c r="H4" s="160"/>
      <c r="I4" s="160"/>
      <c r="J4" s="160"/>
      <c r="K4" s="160"/>
      <c r="L4" s="160"/>
      <c r="M4" s="160"/>
      <c r="N4" s="160"/>
      <c r="O4" s="160"/>
      <c r="P4" s="160"/>
      <c r="Q4" s="160"/>
    </row>
    <row r="5" spans="1:5" ht="15">
      <c r="A5" s="85"/>
      <c r="E5" s="137"/>
    </row>
    <row r="6" spans="1:17" ht="30" customHeight="1">
      <c r="A6" s="115">
        <v>4</v>
      </c>
      <c r="B6" s="116"/>
      <c r="C6" s="116" t="s">
        <v>18</v>
      </c>
      <c r="D6" s="116"/>
      <c r="E6" s="136" t="s">
        <v>48</v>
      </c>
      <c r="G6" s="160" t="s">
        <v>129</v>
      </c>
      <c r="H6" s="160"/>
      <c r="I6" s="160"/>
      <c r="J6" s="160"/>
      <c r="K6" s="160"/>
      <c r="L6" s="160"/>
      <c r="M6" s="160"/>
      <c r="N6" s="160"/>
      <c r="O6" s="160"/>
      <c r="P6" s="160"/>
      <c r="Q6" s="160"/>
    </row>
    <row r="7" spans="1:5" ht="15">
      <c r="A7" s="85"/>
      <c r="E7" s="137"/>
    </row>
    <row r="8" spans="1:7" ht="15">
      <c r="A8" s="115">
        <v>5</v>
      </c>
      <c r="C8" s="71" t="s">
        <v>9</v>
      </c>
      <c r="E8" s="137" t="s">
        <v>131</v>
      </c>
      <c r="G8" s="71" t="s">
        <v>130</v>
      </c>
    </row>
    <row r="9" spans="1:5" ht="15">
      <c r="A9" s="85"/>
      <c r="E9" s="137"/>
    </row>
    <row r="10" spans="1:14" ht="31.5" customHeight="1">
      <c r="A10" s="115">
        <v>6</v>
      </c>
      <c r="B10" s="116"/>
      <c r="C10" s="116" t="s">
        <v>50</v>
      </c>
      <c r="D10" s="116"/>
      <c r="E10" s="138" t="s">
        <v>51</v>
      </c>
      <c r="G10" s="160" t="s">
        <v>49</v>
      </c>
      <c r="H10" s="160"/>
      <c r="I10" s="160"/>
      <c r="J10" s="160"/>
      <c r="K10" s="160"/>
      <c r="L10" s="160"/>
      <c r="M10" s="160"/>
      <c r="N10" s="160"/>
    </row>
    <row r="11" spans="1:5" ht="15">
      <c r="A11" s="85"/>
      <c r="E11" s="137"/>
    </row>
    <row r="12" spans="1:17" ht="30">
      <c r="A12" s="115">
        <v>7</v>
      </c>
      <c r="B12" s="115"/>
      <c r="C12" s="115" t="s">
        <v>10</v>
      </c>
      <c r="E12" s="139" t="s">
        <v>132</v>
      </c>
      <c r="G12" s="161" t="s">
        <v>52</v>
      </c>
      <c r="H12" s="161"/>
      <c r="I12" s="161"/>
      <c r="J12" s="161"/>
      <c r="K12" s="161"/>
      <c r="L12" s="161"/>
      <c r="M12" s="161"/>
      <c r="N12" s="161"/>
      <c r="O12" s="161"/>
      <c r="P12" s="161"/>
      <c r="Q12" s="161"/>
    </row>
    <row r="13" spans="1:5" ht="15">
      <c r="A13" s="85"/>
      <c r="E13" s="137"/>
    </row>
    <row r="14" spans="1:17" ht="15">
      <c r="A14" s="115">
        <v>8</v>
      </c>
      <c r="C14" s="71" t="s">
        <v>53</v>
      </c>
      <c r="E14" s="137" t="s">
        <v>54</v>
      </c>
      <c r="G14" s="160" t="s">
        <v>55</v>
      </c>
      <c r="H14" s="160"/>
      <c r="I14" s="160"/>
      <c r="J14" s="160"/>
      <c r="K14" s="160"/>
      <c r="L14" s="160"/>
      <c r="M14" s="160"/>
      <c r="N14" s="160"/>
      <c r="O14" s="160"/>
      <c r="P14" s="160"/>
      <c r="Q14" s="160"/>
    </row>
    <row r="15" spans="1:5" ht="19.5" customHeight="1">
      <c r="A15" s="85"/>
      <c r="E15" s="137"/>
    </row>
    <row r="16" spans="1:7" ht="30">
      <c r="A16" s="115">
        <v>9</v>
      </c>
      <c r="B16" s="116"/>
      <c r="C16" s="116" t="s">
        <v>12</v>
      </c>
      <c r="E16" s="139" t="s">
        <v>56</v>
      </c>
      <c r="G16" s="116" t="s">
        <v>57</v>
      </c>
    </row>
    <row r="17" spans="1:5" ht="15">
      <c r="A17" s="85"/>
      <c r="E17" s="137"/>
    </row>
    <row r="18" spans="1:17" ht="15">
      <c r="A18" s="115">
        <v>10</v>
      </c>
      <c r="C18" s="71" t="s">
        <v>11</v>
      </c>
      <c r="E18" s="137" t="s">
        <v>74</v>
      </c>
      <c r="G18" s="160" t="s">
        <v>58</v>
      </c>
      <c r="H18" s="160"/>
      <c r="I18" s="160"/>
      <c r="J18" s="160"/>
      <c r="K18" s="160"/>
      <c r="L18" s="160"/>
      <c r="M18" s="160"/>
      <c r="N18" s="160"/>
      <c r="O18" s="160"/>
      <c r="P18" s="160"/>
      <c r="Q18" s="160"/>
    </row>
    <row r="19" spans="1:5" ht="15">
      <c r="A19" s="85"/>
      <c r="E19" s="137"/>
    </row>
    <row r="20" spans="1:17" ht="30.75" customHeight="1">
      <c r="A20" s="115">
        <v>11</v>
      </c>
      <c r="B20" s="116"/>
      <c r="C20" s="116" t="s">
        <v>14</v>
      </c>
      <c r="E20" s="139" t="s">
        <v>150</v>
      </c>
      <c r="G20" s="160" t="s">
        <v>133</v>
      </c>
      <c r="H20" s="160"/>
      <c r="I20" s="160"/>
      <c r="J20" s="160"/>
      <c r="K20" s="160"/>
      <c r="L20" s="160"/>
      <c r="M20" s="160"/>
      <c r="N20" s="160"/>
      <c r="O20" s="160"/>
      <c r="P20" s="160"/>
      <c r="Q20" s="160"/>
    </row>
    <row r="21" spans="1:5" ht="15">
      <c r="A21" s="85"/>
      <c r="E21" s="137"/>
    </row>
    <row r="22" spans="1:17" ht="27.75" customHeight="1">
      <c r="A22" s="85">
        <v>12</v>
      </c>
      <c r="B22" s="116"/>
      <c r="C22" s="116" t="s">
        <v>13</v>
      </c>
      <c r="E22" s="139" t="s">
        <v>134</v>
      </c>
      <c r="G22" s="160" t="s">
        <v>135</v>
      </c>
      <c r="H22" s="160"/>
      <c r="I22" s="160"/>
      <c r="J22" s="160"/>
      <c r="K22" s="160"/>
      <c r="L22" s="160"/>
      <c r="M22" s="160"/>
      <c r="N22" s="160"/>
      <c r="O22" s="160"/>
      <c r="P22" s="160"/>
      <c r="Q22" s="160"/>
    </row>
    <row r="23" spans="1:5" ht="15">
      <c r="A23" s="85"/>
      <c r="E23" s="137"/>
    </row>
    <row r="24" spans="1:5" ht="15">
      <c r="A24" s="85">
        <v>13</v>
      </c>
      <c r="C24" s="71" t="s">
        <v>16</v>
      </c>
      <c r="E24" s="137" t="s">
        <v>59</v>
      </c>
    </row>
    <row r="25" spans="1:5" ht="15">
      <c r="A25" s="85"/>
      <c r="E25" s="137"/>
    </row>
    <row r="26" spans="1:17" ht="15">
      <c r="A26" s="85">
        <v>14</v>
      </c>
      <c r="C26" s="71" t="s">
        <v>35</v>
      </c>
      <c r="E26" s="137" t="s">
        <v>125</v>
      </c>
      <c r="G26" s="160" t="s">
        <v>136</v>
      </c>
      <c r="H26" s="160"/>
      <c r="I26" s="160"/>
      <c r="J26" s="160"/>
      <c r="K26" s="160"/>
      <c r="L26" s="160"/>
      <c r="M26" s="160"/>
      <c r="N26" s="160"/>
      <c r="O26" s="160"/>
      <c r="P26" s="160"/>
      <c r="Q26" s="160"/>
    </row>
    <row r="27" spans="1:5" ht="15">
      <c r="A27" s="85"/>
      <c r="E27" s="137"/>
    </row>
    <row r="28" spans="1:17" ht="15">
      <c r="A28" s="85">
        <v>15</v>
      </c>
      <c r="C28" s="71" t="s">
        <v>19</v>
      </c>
      <c r="E28" s="137" t="s">
        <v>60</v>
      </c>
      <c r="G28" s="159" t="s">
        <v>137</v>
      </c>
      <c r="H28" s="159"/>
      <c r="I28" s="159"/>
      <c r="J28" s="159"/>
      <c r="K28" s="159"/>
      <c r="L28" s="159"/>
      <c r="M28" s="159"/>
      <c r="N28" s="159"/>
      <c r="O28" s="159"/>
      <c r="P28" s="159"/>
      <c r="Q28" s="159"/>
    </row>
    <row r="29" ht="15">
      <c r="E29" s="137"/>
    </row>
    <row r="30" spans="1:17" ht="15">
      <c r="A30" s="85">
        <v>16</v>
      </c>
      <c r="C30" s="71" t="s">
        <v>36</v>
      </c>
      <c r="E30" s="137" t="s">
        <v>75</v>
      </c>
      <c r="G30" s="159" t="s">
        <v>61</v>
      </c>
      <c r="H30" s="159"/>
      <c r="I30" s="159"/>
      <c r="J30" s="159"/>
      <c r="K30" s="159"/>
      <c r="L30" s="159"/>
      <c r="M30" s="159"/>
      <c r="N30" s="159"/>
      <c r="O30" s="159"/>
      <c r="P30" s="159"/>
      <c r="Q30" s="159"/>
    </row>
    <row r="31" ht="15">
      <c r="E31" s="137"/>
    </row>
    <row r="32" spans="1:7" ht="18">
      <c r="A32" s="115">
        <v>17</v>
      </c>
      <c r="C32" s="71" t="s">
        <v>62</v>
      </c>
      <c r="E32" s="137" t="s">
        <v>63</v>
      </c>
      <c r="G32" s="71" t="s">
        <v>138</v>
      </c>
    </row>
    <row r="33" spans="1:5" ht="15">
      <c r="A33" s="115"/>
      <c r="E33" s="137"/>
    </row>
    <row r="34" spans="1:5" ht="15">
      <c r="A34" s="115">
        <v>18</v>
      </c>
      <c r="C34" s="71" t="s">
        <v>15</v>
      </c>
      <c r="E34" s="137" t="s">
        <v>59</v>
      </c>
    </row>
    <row r="35" ht="15">
      <c r="E35" s="137"/>
    </row>
    <row r="36" spans="1:17" ht="31.5" customHeight="1">
      <c r="A36" s="85">
        <v>19</v>
      </c>
      <c r="B36" s="115"/>
      <c r="C36" s="115" t="s">
        <v>37</v>
      </c>
      <c r="D36" s="115"/>
      <c r="E36" s="140" t="s">
        <v>126</v>
      </c>
      <c r="G36" s="160" t="s">
        <v>139</v>
      </c>
      <c r="H36" s="160"/>
      <c r="I36" s="160"/>
      <c r="J36" s="160"/>
      <c r="K36" s="160"/>
      <c r="L36" s="160"/>
      <c r="M36" s="160"/>
      <c r="N36" s="160"/>
      <c r="O36" s="160"/>
      <c r="P36" s="160"/>
      <c r="Q36" s="160"/>
    </row>
    <row r="37" spans="1:17" ht="15">
      <c r="A37" s="85"/>
      <c r="B37" s="115"/>
      <c r="C37" s="115"/>
      <c r="D37" s="115"/>
      <c r="E37" s="140"/>
      <c r="G37" s="73"/>
      <c r="H37" s="73"/>
      <c r="I37" s="73"/>
      <c r="J37" s="73"/>
      <c r="K37" s="73"/>
      <c r="L37" s="73"/>
      <c r="M37" s="73"/>
      <c r="N37" s="73"/>
      <c r="O37" s="73"/>
      <c r="P37" s="73"/>
      <c r="Q37" s="73"/>
    </row>
    <row r="38" spans="1:17" ht="18">
      <c r="A38" s="85">
        <v>20</v>
      </c>
      <c r="B38" s="115"/>
      <c r="C38" s="115" t="s">
        <v>106</v>
      </c>
      <c r="D38" s="115"/>
      <c r="E38" s="136" t="s">
        <v>107</v>
      </c>
      <c r="G38" s="73"/>
      <c r="H38" s="73"/>
      <c r="I38" s="73"/>
      <c r="J38" s="73"/>
      <c r="K38" s="73"/>
      <c r="L38" s="73"/>
      <c r="M38" s="73"/>
      <c r="N38" s="73"/>
      <c r="O38" s="73"/>
      <c r="P38" s="73"/>
      <c r="Q38" s="73"/>
    </row>
    <row r="39" spans="1:5" ht="15">
      <c r="A39" s="85"/>
      <c r="E39" s="137"/>
    </row>
    <row r="40" spans="1:5" ht="15">
      <c r="A40" s="76" t="s">
        <v>70</v>
      </c>
      <c r="B40" s="76"/>
      <c r="C40" s="76"/>
      <c r="E40" s="137"/>
    </row>
    <row r="41" spans="1:5" ht="15">
      <c r="A41" s="85">
        <v>21</v>
      </c>
      <c r="C41" s="71" t="s">
        <v>24</v>
      </c>
      <c r="E41" s="137" t="s">
        <v>76</v>
      </c>
    </row>
    <row r="42" spans="1:5" ht="15">
      <c r="A42" s="85"/>
      <c r="E42" s="137"/>
    </row>
    <row r="43" spans="1:5" ht="15">
      <c r="A43" s="85">
        <v>22</v>
      </c>
      <c r="C43" s="71" t="s">
        <v>25</v>
      </c>
      <c r="E43" s="137" t="s">
        <v>77</v>
      </c>
    </row>
    <row r="44" spans="1:5" ht="15">
      <c r="A44" s="85"/>
      <c r="E44" s="137"/>
    </row>
    <row r="45" spans="1:5" ht="15">
      <c r="A45" s="141" t="s">
        <v>64</v>
      </c>
      <c r="B45" s="76"/>
      <c r="C45" s="76"/>
      <c r="E45" s="137"/>
    </row>
    <row r="46" spans="1:5" ht="15">
      <c r="A46" s="85"/>
      <c r="E46" s="137"/>
    </row>
    <row r="47" spans="1:17" ht="15">
      <c r="A47" s="85">
        <v>23</v>
      </c>
      <c r="C47" s="71" t="s">
        <v>83</v>
      </c>
      <c r="E47" s="137">
        <v>43</v>
      </c>
      <c r="G47" s="159" t="s">
        <v>65</v>
      </c>
      <c r="H47" s="159"/>
      <c r="I47" s="159"/>
      <c r="J47" s="159"/>
      <c r="K47" s="159"/>
      <c r="L47" s="159"/>
      <c r="M47" s="159"/>
      <c r="N47" s="159"/>
      <c r="O47" s="159"/>
      <c r="P47" s="159"/>
      <c r="Q47" s="159"/>
    </row>
    <row r="48" spans="1:5" ht="15">
      <c r="A48" s="85"/>
      <c r="E48" s="137"/>
    </row>
    <row r="49" spans="1:17" ht="18">
      <c r="A49" s="85">
        <v>24</v>
      </c>
      <c r="C49" s="71" t="s">
        <v>84</v>
      </c>
      <c r="E49" s="137">
        <v>74.1</v>
      </c>
      <c r="G49" s="159" t="s">
        <v>66</v>
      </c>
      <c r="H49" s="159"/>
      <c r="I49" s="159"/>
      <c r="J49" s="159"/>
      <c r="K49" s="159"/>
      <c r="L49" s="159"/>
      <c r="M49" s="159"/>
      <c r="N49" s="159"/>
      <c r="O49" s="159"/>
      <c r="P49" s="159"/>
      <c r="Q49" s="159"/>
    </row>
    <row r="50" spans="1:5" ht="15">
      <c r="A50" s="85"/>
      <c r="E50" s="137"/>
    </row>
    <row r="51" spans="1:17" ht="15">
      <c r="A51" s="85">
        <v>25</v>
      </c>
      <c r="C51" s="71" t="s">
        <v>85</v>
      </c>
      <c r="E51" s="137">
        <v>0.844</v>
      </c>
      <c r="G51" s="159" t="s">
        <v>67</v>
      </c>
      <c r="H51" s="159"/>
      <c r="I51" s="159"/>
      <c r="J51" s="159"/>
      <c r="K51" s="159"/>
      <c r="L51" s="159"/>
      <c r="M51" s="159"/>
      <c r="N51" s="159"/>
      <c r="O51" s="159"/>
      <c r="P51" s="159"/>
      <c r="Q51" s="159"/>
    </row>
    <row r="52" spans="1:5" ht="15">
      <c r="A52" s="85"/>
      <c r="E52" s="137"/>
    </row>
    <row r="53" spans="1:17" ht="15">
      <c r="A53" s="85">
        <v>26</v>
      </c>
      <c r="C53" s="71" t="s">
        <v>68</v>
      </c>
      <c r="E53" s="142">
        <v>0.22</v>
      </c>
      <c r="G53" s="159" t="s">
        <v>69</v>
      </c>
      <c r="H53" s="159"/>
      <c r="I53" s="159"/>
      <c r="J53" s="159"/>
      <c r="K53" s="159"/>
      <c r="L53" s="159"/>
      <c r="M53" s="159"/>
      <c r="N53" s="159"/>
      <c r="O53" s="159"/>
      <c r="P53" s="159"/>
      <c r="Q53" s="159"/>
    </row>
    <row r="54" spans="1:5" ht="15">
      <c r="A54" s="85"/>
      <c r="E54" s="137"/>
    </row>
    <row r="55" spans="1:5" ht="18">
      <c r="A55" s="141" t="s">
        <v>71</v>
      </c>
      <c r="E55" s="137"/>
    </row>
    <row r="56" spans="1:17" ht="15">
      <c r="A56" s="85"/>
      <c r="E56" s="137"/>
      <c r="Q56" s="143"/>
    </row>
    <row r="57" spans="1:17" ht="15">
      <c r="A57" s="85">
        <v>27</v>
      </c>
      <c r="C57" s="71" t="s">
        <v>72</v>
      </c>
      <c r="E57" s="137" t="s">
        <v>153</v>
      </c>
      <c r="G57" s="160" t="s">
        <v>154</v>
      </c>
      <c r="H57" s="160"/>
      <c r="I57" s="160"/>
      <c r="J57" s="160"/>
      <c r="K57" s="160"/>
      <c r="L57" s="160"/>
      <c r="M57" s="160"/>
      <c r="N57" s="160"/>
      <c r="O57" s="160"/>
      <c r="P57" s="160"/>
      <c r="Q57" s="160"/>
    </row>
    <row r="58" ht="15">
      <c r="E58" s="137"/>
    </row>
    <row r="59" spans="1:17" ht="18">
      <c r="A59" s="85">
        <v>28</v>
      </c>
      <c r="C59" s="71" t="s">
        <v>73</v>
      </c>
      <c r="E59" s="144" t="s">
        <v>155</v>
      </c>
      <c r="G59" s="160" t="s">
        <v>154</v>
      </c>
      <c r="H59" s="160"/>
      <c r="I59" s="160"/>
      <c r="J59" s="160"/>
      <c r="K59" s="160"/>
      <c r="L59" s="160"/>
      <c r="M59" s="160"/>
      <c r="N59" s="160"/>
      <c r="O59" s="160"/>
      <c r="P59" s="160"/>
      <c r="Q59" s="160"/>
    </row>
  </sheetData>
  <mergeCells count="21">
    <mergeCell ref="G57:Q57"/>
    <mergeCell ref="G59:Q59"/>
    <mergeCell ref="G53:Q53"/>
    <mergeCell ref="G51:Q51"/>
    <mergeCell ref="G4:Q4"/>
    <mergeCell ref="G6:Q6"/>
    <mergeCell ref="G10:N10"/>
    <mergeCell ref="G12:Q12"/>
    <mergeCell ref="G14:Q14"/>
    <mergeCell ref="G30:Q30"/>
    <mergeCell ref="G26:Q26"/>
    <mergeCell ref="G36:Q36"/>
    <mergeCell ref="G18:Q18"/>
    <mergeCell ref="G20:Q20"/>
    <mergeCell ref="G22:Q22"/>
    <mergeCell ref="G28:Q28"/>
    <mergeCell ref="G1:H1"/>
    <mergeCell ref="J1:K1"/>
    <mergeCell ref="J2:K2"/>
    <mergeCell ref="G49:Q49"/>
    <mergeCell ref="G47:Q47"/>
  </mergeCells>
  <printOptions/>
  <pageMargins left="0.7" right="0.7" top="0.787401575" bottom="0.7874015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topLeftCell="A1">
      <selection activeCell="E18" sqref="E18"/>
    </sheetView>
  </sheetViews>
  <sheetFormatPr defaultColWidth="11.421875" defaultRowHeight="15"/>
  <cols>
    <col min="1" max="1" width="3.7109375" style="71" customWidth="1"/>
    <col min="2" max="2" width="3.57421875" style="71" customWidth="1"/>
    <col min="3" max="3" width="42.8515625" style="71" customWidth="1"/>
    <col min="4" max="4" width="3.00390625" style="71" customWidth="1"/>
    <col min="5" max="5" width="11.421875" style="71" customWidth="1"/>
    <col min="6" max="6" width="3.28125" style="71" customWidth="1"/>
    <col min="7" max="7" width="11.421875" style="71" customWidth="1"/>
    <col min="8" max="8" width="3.7109375" style="71" customWidth="1"/>
    <col min="9" max="9" width="11.421875" style="71" customWidth="1"/>
    <col min="10" max="10" width="3.00390625" style="71" customWidth="1"/>
    <col min="11" max="11" width="11.421875" style="71" customWidth="1"/>
    <col min="12" max="12" width="2.8515625" style="71" customWidth="1"/>
    <col min="13" max="16384" width="11.421875" style="71" customWidth="1"/>
  </cols>
  <sheetData>
    <row r="1" spans="1:17" ht="21">
      <c r="A1" s="69" t="s">
        <v>79</v>
      </c>
      <c r="B1" s="70"/>
      <c r="C1" s="70"/>
      <c r="D1" s="70"/>
      <c r="E1" s="70"/>
      <c r="F1" s="70"/>
      <c r="G1" s="157"/>
      <c r="H1" s="157"/>
      <c r="I1" s="157"/>
      <c r="J1" s="70"/>
      <c r="K1" s="70"/>
      <c r="L1" s="70"/>
      <c r="M1" s="70"/>
      <c r="N1" s="70"/>
      <c r="O1" s="70"/>
      <c r="P1" s="70"/>
      <c r="Q1" s="70"/>
    </row>
    <row r="2" spans="1:9" ht="24.75" customHeight="1">
      <c r="A2" s="72"/>
      <c r="G2" s="158"/>
      <c r="H2" s="158"/>
      <c r="I2" s="158"/>
    </row>
    <row r="3" spans="1:17" ht="57.75" customHeight="1">
      <c r="A3" s="162" t="s">
        <v>152</v>
      </c>
      <c r="B3" s="162"/>
      <c r="C3" s="162"/>
      <c r="D3" s="162"/>
      <c r="E3" s="162"/>
      <c r="F3" s="162"/>
      <c r="G3" s="162"/>
      <c r="H3" s="162"/>
      <c r="I3" s="162"/>
      <c r="J3" s="162"/>
      <c r="K3" s="162"/>
      <c r="L3" s="162"/>
      <c r="M3" s="162"/>
      <c r="N3" s="162"/>
      <c r="O3" s="162"/>
      <c r="P3" s="162"/>
      <c r="Q3" s="162"/>
    </row>
    <row r="4" spans="1:17" ht="42" customHeight="1">
      <c r="A4" s="162" t="s">
        <v>140</v>
      </c>
      <c r="B4" s="162"/>
      <c r="C4" s="162"/>
      <c r="D4" s="162"/>
      <c r="E4" s="162"/>
      <c r="F4" s="162"/>
      <c r="G4" s="162"/>
      <c r="H4" s="162"/>
      <c r="I4" s="162"/>
      <c r="J4" s="162"/>
      <c r="K4" s="162"/>
      <c r="L4" s="162"/>
      <c r="M4" s="162"/>
      <c r="N4" s="162"/>
      <c r="O4" s="162"/>
      <c r="P4" s="162"/>
      <c r="Q4" s="162"/>
    </row>
    <row r="5" spans="1:17" ht="18.75" customHeight="1">
      <c r="A5" s="162" t="s">
        <v>141</v>
      </c>
      <c r="B5" s="162"/>
      <c r="C5" s="162"/>
      <c r="D5" s="162"/>
      <c r="E5" s="162"/>
      <c r="F5" s="162"/>
      <c r="G5" s="162"/>
      <c r="H5" s="162"/>
      <c r="I5" s="162"/>
      <c r="J5" s="162"/>
      <c r="K5" s="162"/>
      <c r="L5" s="162"/>
      <c r="M5" s="162"/>
      <c r="N5" s="162"/>
      <c r="O5" s="162"/>
      <c r="P5" s="162"/>
      <c r="Q5" s="162"/>
    </row>
    <row r="6" spans="1:17" ht="19.5" customHeight="1">
      <c r="A6" s="73"/>
      <c r="B6" s="73"/>
      <c r="C6" s="73"/>
      <c r="D6" s="73"/>
      <c r="E6" s="73"/>
      <c r="F6" s="73"/>
      <c r="G6" s="73"/>
      <c r="H6" s="73"/>
      <c r="I6" s="73"/>
      <c r="J6" s="73"/>
      <c r="K6" s="73"/>
      <c r="L6" s="73"/>
      <c r="M6" s="73"/>
      <c r="N6" s="73"/>
      <c r="O6" s="73"/>
      <c r="P6" s="73"/>
      <c r="Q6" s="73"/>
    </row>
    <row r="8" spans="1:13" ht="30">
      <c r="A8" s="74" t="s">
        <v>2</v>
      </c>
      <c r="C8" s="74" t="s">
        <v>29</v>
      </c>
      <c r="E8" s="75" t="s">
        <v>33</v>
      </c>
      <c r="F8" s="76"/>
      <c r="G8" s="77" t="s">
        <v>32</v>
      </c>
      <c r="H8" s="76"/>
      <c r="I8" s="78" t="s">
        <v>30</v>
      </c>
      <c r="J8" s="76"/>
      <c r="K8" s="79" t="s">
        <v>31</v>
      </c>
      <c r="L8" s="76"/>
      <c r="M8" s="80"/>
    </row>
    <row r="9" spans="5:11" ht="15">
      <c r="E9" s="81"/>
      <c r="G9" s="82"/>
      <c r="I9" s="83"/>
      <c r="K9" s="84"/>
    </row>
    <row r="10" spans="1:11" ht="18">
      <c r="A10" s="85">
        <v>1</v>
      </c>
      <c r="C10" s="71" t="s">
        <v>105</v>
      </c>
      <c r="E10" s="86">
        <f>'Start Page - Input Values'!D55/100*Defaults!E51*Defaults!E47*Defaults!E49*(100%+Defaults!E53)</f>
        <v>3280.869384</v>
      </c>
      <c r="F10" s="87"/>
      <c r="G10" s="88">
        <f>'Start Page - Input Values'!F55/100*Defaults!E51*Defaults!E49*Defaults!E47*(100%+Defaults!E53)</f>
        <v>2624.6955072</v>
      </c>
      <c r="H10" s="87"/>
      <c r="I10" s="89">
        <f>('Start Page - Input Values'!H55/100*Defaults!E51*Defaults!E49*Defaults!E47*(100%+Defaults!E53))+'Start Page - Input Values'!H47*'Start Page - Input Values'!H49*300*'Start Page - Input Values'!H51/1000</f>
        <v>0</v>
      </c>
      <c r="J10" s="87"/>
      <c r="K10" s="90">
        <f>'Start Page - Input Values'!J45*'Start Page - Input Values'!J51*1000</f>
        <v>0</v>
      </c>
    </row>
    <row r="11" spans="1:11" ht="15">
      <c r="A11" s="85"/>
      <c r="E11" s="81"/>
      <c r="G11" s="82"/>
      <c r="I11" s="83"/>
      <c r="K11" s="84"/>
    </row>
    <row r="12" spans="1:11" ht="18">
      <c r="A12" s="85">
        <v>2</v>
      </c>
      <c r="C12" s="71" t="s">
        <v>80</v>
      </c>
      <c r="E12" s="91">
        <f>'Start Page - Input Values'!D55/100*Defaults!E51*Defaults!E47*Defaults!E49/10^6*'Start Page - Input Values'!D23*(100%+Defaults!E53)</f>
        <v>328.0869384</v>
      </c>
      <c r="G12" s="92">
        <f>'Start Page - Input Values'!F55/100*'Start Page - Input Values'!F23*Defaults!E51*Defaults!E47*Defaults!E49*(100%+Defaults!E53)/10^6</f>
        <v>262.46955072</v>
      </c>
      <c r="I12" s="93">
        <f>'Start Page - Input Values'!H23*'Start Page - Input Values'!H55/100*Defaults!E51*Defaults!E47*Defaults!E49*(100%+Defaults!E53)/10^6+'Start Page - Input Values'!H47*'Start Page - Input Values'!H49*'Start Page - Input Values'!H51*300/10^3</f>
        <v>0</v>
      </c>
      <c r="K12" s="94">
        <f>'Start Page - Input Values'!J45*'Start Page - Input Values'!J23*'Start Page - Input Values'!J51/10^3</f>
        <v>0</v>
      </c>
    </row>
    <row r="13" spans="1:11" ht="15">
      <c r="A13" s="85"/>
      <c r="E13" s="81"/>
      <c r="G13" s="82"/>
      <c r="I13" s="83"/>
      <c r="K13" s="84"/>
    </row>
    <row r="14" spans="1:16" ht="18">
      <c r="A14" s="85">
        <v>3</v>
      </c>
      <c r="C14" s="71" t="s">
        <v>81</v>
      </c>
      <c r="E14" s="81"/>
      <c r="G14" s="95">
        <f>E12-G12</f>
        <v>65.61738768000004</v>
      </c>
      <c r="H14" s="96"/>
      <c r="I14" s="97">
        <f>E12-I12</f>
        <v>328.0869384</v>
      </c>
      <c r="J14" s="98"/>
      <c r="K14" s="99">
        <f>E12-K12</f>
        <v>328.0869384</v>
      </c>
      <c r="P14" s="76"/>
    </row>
    <row r="15" spans="1:11" ht="15">
      <c r="A15" s="85"/>
      <c r="E15" s="81"/>
      <c r="G15" s="100"/>
      <c r="H15" s="96"/>
      <c r="I15" s="101"/>
      <c r="J15" s="98"/>
      <c r="K15" s="102"/>
    </row>
    <row r="16" spans="1:11" ht="15">
      <c r="A16" s="85">
        <v>4</v>
      </c>
      <c r="C16" s="71" t="s">
        <v>82</v>
      </c>
      <c r="E16" s="81"/>
      <c r="G16" s="103">
        <f>(E12-G12)/E12</f>
        <v>0.2000000000000001</v>
      </c>
      <c r="H16" s="96"/>
      <c r="I16" s="104">
        <f>(E12-I12)/E12</f>
        <v>1</v>
      </c>
      <c r="J16" s="98"/>
      <c r="K16" s="105">
        <f>(E12-K12)/E12</f>
        <v>1</v>
      </c>
    </row>
    <row r="17" spans="1:11" ht="15">
      <c r="A17" s="85"/>
      <c r="E17" s="81"/>
      <c r="G17" s="82"/>
      <c r="I17" s="106"/>
      <c r="K17" s="107"/>
    </row>
    <row r="18" spans="1:11" ht="15">
      <c r="A18" s="85">
        <v>5</v>
      </c>
      <c r="C18" s="71" t="s">
        <v>87</v>
      </c>
      <c r="E18" s="108">
        <f>0.02*10*'Start Page - Input Values'!D55/100*'Start Page - Input Values'!D23/1000</f>
        <v>20</v>
      </c>
      <c r="G18" s="109">
        <f>0.02*10*'Start Page - Input Values'!F55/100*'Start Page - Input Values'!F23/1000</f>
        <v>16</v>
      </c>
      <c r="I18" s="110">
        <f>0.02*10*'Start Page - Input Values'!H55/100*'Start Page - Input Values'!H23/1000</f>
        <v>0</v>
      </c>
      <c r="K18" s="94">
        <v>0</v>
      </c>
    </row>
    <row r="19" spans="5:11" ht="15">
      <c r="E19" s="81"/>
      <c r="G19" s="111"/>
      <c r="I19" s="106"/>
      <c r="K19" s="107"/>
    </row>
    <row r="20" spans="1:11" ht="18">
      <c r="A20" s="85">
        <v>6</v>
      </c>
      <c r="C20" s="71" t="s">
        <v>88</v>
      </c>
      <c r="E20" s="112">
        <f>2*10*'Start Page - Input Values'!D55/100*'Start Page - Input Values'!D23/1000</f>
        <v>2000</v>
      </c>
      <c r="G20" s="150">
        <f>2*10*'Start Page - Input Values'!F55/100*'Start Page - Input Values'!F23/1000</f>
        <v>1600</v>
      </c>
      <c r="I20" s="151">
        <f>2*10*'Start Page - Input Values'!H55/100*'Start Page - Input Values'!H23/1000</f>
        <v>0</v>
      </c>
      <c r="K20" s="94">
        <v>0</v>
      </c>
    </row>
  </sheetData>
  <mergeCells count="5">
    <mergeCell ref="A3:Q3"/>
    <mergeCell ref="A4:Q4"/>
    <mergeCell ref="A5:Q5"/>
    <mergeCell ref="G2:I2"/>
    <mergeCell ref="G1:I1"/>
  </mergeCells>
  <printOptions/>
  <pageMargins left="0.7" right="0.7" top="0.787401575" bottom="0.7874015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topLeftCell="A1">
      <selection activeCell="C2" sqref="C2"/>
    </sheetView>
  </sheetViews>
  <sheetFormatPr defaultColWidth="11.421875" defaultRowHeight="15"/>
  <cols>
    <col min="1" max="1" width="3.421875" style="71" customWidth="1"/>
    <col min="2" max="2" width="4.00390625" style="71" customWidth="1"/>
    <col min="3" max="3" width="36.7109375" style="71" customWidth="1"/>
    <col min="4" max="4" width="2.8515625" style="71" customWidth="1"/>
    <col min="5" max="5" width="11.421875" style="71" customWidth="1"/>
    <col min="6" max="6" width="3.57421875" style="71" customWidth="1"/>
    <col min="7" max="7" width="11.421875" style="71" customWidth="1"/>
    <col min="8" max="8" width="3.28125" style="71" customWidth="1"/>
    <col min="9" max="9" width="11.421875" style="71" customWidth="1"/>
    <col min="10" max="10" width="2.8515625" style="71" customWidth="1"/>
    <col min="11" max="11" width="11.421875" style="71" customWidth="1"/>
    <col min="12" max="12" width="3.57421875" style="71" customWidth="1"/>
    <col min="13" max="16384" width="11.421875" style="71" customWidth="1"/>
  </cols>
  <sheetData>
    <row r="1" spans="1:19" ht="21">
      <c r="A1" s="69" t="s">
        <v>91</v>
      </c>
      <c r="B1" s="70"/>
      <c r="C1" s="70"/>
      <c r="D1" s="70"/>
      <c r="E1" s="70"/>
      <c r="F1" s="70"/>
      <c r="G1" s="157"/>
      <c r="H1" s="157"/>
      <c r="I1" s="157"/>
      <c r="J1" s="70"/>
      <c r="K1" s="70"/>
      <c r="L1" s="70"/>
      <c r="M1" s="70"/>
      <c r="N1" s="70"/>
      <c r="O1" s="70"/>
      <c r="P1" s="70"/>
      <c r="Q1" s="70"/>
      <c r="R1" s="70"/>
      <c r="S1" s="70"/>
    </row>
    <row r="2" spans="7:9" ht="33.75" customHeight="1">
      <c r="G2" s="158"/>
      <c r="H2" s="158"/>
      <c r="I2" s="158"/>
    </row>
    <row r="3" spans="1:13" ht="30">
      <c r="A3" s="74" t="s">
        <v>2</v>
      </c>
      <c r="C3" s="74" t="s">
        <v>29</v>
      </c>
      <c r="E3" s="75" t="s">
        <v>33</v>
      </c>
      <c r="F3" s="76"/>
      <c r="G3" s="77" t="s">
        <v>32</v>
      </c>
      <c r="H3" s="76"/>
      <c r="I3" s="78" t="s">
        <v>30</v>
      </c>
      <c r="J3" s="76"/>
      <c r="K3" s="79" t="s">
        <v>31</v>
      </c>
      <c r="M3" s="74" t="s">
        <v>94</v>
      </c>
    </row>
    <row r="4" spans="5:11" ht="15">
      <c r="E4" s="81"/>
      <c r="G4" s="82"/>
      <c r="I4" s="83"/>
      <c r="K4" s="84"/>
    </row>
    <row r="5" spans="1:11" ht="15">
      <c r="A5" s="85">
        <v>1</v>
      </c>
      <c r="C5" s="71" t="s">
        <v>92</v>
      </c>
      <c r="E5" s="86">
        <f>'Start Page - Input Values'!D31</f>
        <v>0</v>
      </c>
      <c r="F5" s="113"/>
      <c r="G5" s="88">
        <f>'Start Page - Input Values'!F31</f>
        <v>0</v>
      </c>
      <c r="H5" s="113"/>
      <c r="I5" s="89">
        <f>'Start Page - Input Values'!H31</f>
        <v>0</v>
      </c>
      <c r="J5" s="113"/>
      <c r="K5" s="90">
        <f>'Start Page - Input Values'!J31</f>
        <v>0</v>
      </c>
    </row>
    <row r="6" spans="1:11" ht="15">
      <c r="A6" s="85"/>
      <c r="E6" s="114"/>
      <c r="F6" s="113"/>
      <c r="G6" s="111"/>
      <c r="H6" s="113"/>
      <c r="I6" s="106"/>
      <c r="J6" s="113"/>
      <c r="K6" s="107"/>
    </row>
    <row r="7" spans="1:19" ht="59.25" customHeight="1">
      <c r="A7" s="115">
        <v>2</v>
      </c>
      <c r="B7" s="116"/>
      <c r="C7" s="116" t="s">
        <v>93</v>
      </c>
      <c r="D7" s="116"/>
      <c r="E7" s="117">
        <f>E5</f>
        <v>0</v>
      </c>
      <c r="F7" s="118"/>
      <c r="G7" s="147" t="e">
        <f>'Start Page - Input Values'!F31/'Start Page - Input Values'!F25*100+IF('Start Page - Input Values'!F27-'Start Page - Input Values'!F37&gt;0,'Start Page - Input Values'!F35*(100%-'Start Page - Input Values'!F29)^'Start Page - Input Values'!F37,0)+IF('Start Page - Input Values'!F27-2*'Start Page - Input Values'!F37&gt;0,'Start Page - Input Values'!F35*(100%-'Start Page - Input Values'!F29)^(2*'Start Page - Input Values'!F37),0)</f>
        <v>#DIV/0!</v>
      </c>
      <c r="H7" s="120"/>
      <c r="I7" s="148" t="e">
        <f>'Start Page - Input Values'!H31/'Start Page - Input Values'!H25*100+IF('Start Page - Input Values'!H27-'Start Page - Input Values'!H37&gt;0,'Start Page - Input Values'!H35*(100%-'Start Page - Input Values'!H29)^'Start Page - Input Values'!H37,0)+IF('Start Page - Input Values'!H27-2*'Start Page - Input Values'!H37&gt;0,'Start Page - Input Values'!H35*(100%-'Start Page - Input Values'!H29)^(2*'Start Page - Input Values'!H37),0)+'Start Page - Input Values'!H33</f>
        <v>#DIV/0!</v>
      </c>
      <c r="J7" s="120"/>
      <c r="K7" s="149" t="e">
        <f>'Start Page - Input Values'!J31/'Start Page - Input Values'!J25*100+IF('Start Page - Input Values'!J27-'Start Page - Input Values'!J37&gt;0,'Start Page - Input Values'!J35*(100%-'Start Page - Input Values'!J29)^'Start Page - Input Values'!J37,0)+IF('Start Page - Input Values'!J27-2*'Start Page - Input Values'!J37&gt;0,'Start Page - Input Values'!J35*(100%-'Start Page - Input Values'!J29)^(2*'Start Page - Input Values'!J37),0)+'Start Page - Input Values'!J33</f>
        <v>#DIV/0!</v>
      </c>
      <c r="M7" s="160" t="s">
        <v>143</v>
      </c>
      <c r="N7" s="160"/>
      <c r="O7" s="160"/>
      <c r="P7" s="160"/>
      <c r="Q7" s="160"/>
      <c r="R7" s="160"/>
      <c r="S7" s="160"/>
    </row>
    <row r="8" spans="1:11" ht="15">
      <c r="A8" s="85"/>
      <c r="E8" s="114"/>
      <c r="F8" s="113"/>
      <c r="G8" s="111"/>
      <c r="H8" s="113"/>
      <c r="I8" s="106"/>
      <c r="J8" s="113"/>
      <c r="K8" s="107"/>
    </row>
    <row r="9" spans="1:19" ht="15">
      <c r="A9" s="85">
        <v>3</v>
      </c>
      <c r="C9" s="71" t="s">
        <v>102</v>
      </c>
      <c r="E9" s="123"/>
      <c r="G9" s="88" t="e">
        <f>G7-E7</f>
        <v>#DIV/0!</v>
      </c>
      <c r="I9" s="89" t="e">
        <f>I7-E7</f>
        <v>#DIV/0!</v>
      </c>
      <c r="K9" s="90" t="e">
        <f>K7-E7</f>
        <v>#DIV/0!</v>
      </c>
      <c r="M9" s="158" t="s">
        <v>142</v>
      </c>
      <c r="N9" s="158"/>
      <c r="O9" s="158"/>
      <c r="P9" s="158"/>
      <c r="Q9" s="158"/>
      <c r="R9" s="158"/>
      <c r="S9" s="158"/>
    </row>
    <row r="10" spans="1:11" ht="15">
      <c r="A10" s="85"/>
      <c r="E10" s="81"/>
      <c r="G10" s="82"/>
      <c r="I10" s="83"/>
      <c r="K10" s="84"/>
    </row>
    <row r="11" spans="1:11" ht="15">
      <c r="A11" s="85">
        <v>4</v>
      </c>
      <c r="C11" s="71" t="s">
        <v>95</v>
      </c>
      <c r="E11" s="86">
        <f>'Start Page - Input Values'!D23*'Start Page - Input Values'!D55/100*'Start Page - Input Values'!D53</f>
        <v>0</v>
      </c>
      <c r="F11" s="87"/>
      <c r="G11" s="88">
        <f>'Start Page - Input Values'!F23*'Start Page - Input Values'!F55/100*'Start Page - Input Values'!F53</f>
        <v>0</v>
      </c>
      <c r="H11" s="87"/>
      <c r="I11" s="89">
        <f>'Start Page - Input Values'!H23*'Start Page - Input Values'!H55/100*'Start Page - Input Values'!H53+'Start Page - Input Values'!H49*'Start Page - Input Values'!H47*'Start Page - Input Values'!H43*300</f>
        <v>0</v>
      </c>
      <c r="J11" s="87"/>
      <c r="K11" s="90">
        <f>'Start Page - Input Values'!J23*'Start Page - Input Values'!J45*'Start Page - Input Values'!J43</f>
        <v>0</v>
      </c>
    </row>
    <row r="12" spans="1:11" ht="15">
      <c r="A12" s="85"/>
      <c r="E12" s="124"/>
      <c r="F12" s="87"/>
      <c r="G12" s="125"/>
      <c r="H12" s="87"/>
      <c r="I12" s="126"/>
      <c r="J12" s="87"/>
      <c r="K12" s="127"/>
    </row>
    <row r="13" spans="1:19" ht="15">
      <c r="A13" s="115">
        <v>5</v>
      </c>
      <c r="B13" s="116"/>
      <c r="C13" s="116" t="s">
        <v>96</v>
      </c>
      <c r="D13" s="116"/>
      <c r="E13" s="117">
        <f>'Start Page - Input Values'!D41*'Start Page - Input Values'!D23</f>
        <v>0</v>
      </c>
      <c r="F13" s="120"/>
      <c r="G13" s="119">
        <f>'Start Page - Input Values'!F23*('Start Page - Input Values'!F39+'Start Page - Input Values'!F41)</f>
        <v>0</v>
      </c>
      <c r="H13" s="120"/>
      <c r="I13" s="121">
        <f>'Start Page - Input Values'!H23*('Start Page - Input Values'!H41+'Start Page - Input Values'!H39)</f>
        <v>0</v>
      </c>
      <c r="J13" s="120"/>
      <c r="K13" s="122">
        <f>'Start Page - Input Values'!J23*('Start Page - Input Values'!J41+'Start Page - Input Values'!J39)</f>
        <v>0</v>
      </c>
      <c r="M13" s="160" t="s">
        <v>144</v>
      </c>
      <c r="N13" s="160"/>
      <c r="O13" s="160"/>
      <c r="P13" s="160"/>
      <c r="Q13" s="160"/>
      <c r="R13" s="160"/>
      <c r="S13" s="160"/>
    </row>
    <row r="14" spans="1:11" ht="15">
      <c r="A14" s="85"/>
      <c r="E14" s="124"/>
      <c r="F14" s="87"/>
      <c r="G14" s="125"/>
      <c r="H14" s="87"/>
      <c r="I14" s="126"/>
      <c r="J14" s="87"/>
      <c r="K14" s="127"/>
    </row>
    <row r="15" spans="1:19" ht="15">
      <c r="A15" s="115">
        <v>6</v>
      </c>
      <c r="B15" s="116"/>
      <c r="C15" s="116" t="s">
        <v>100</v>
      </c>
      <c r="D15" s="116"/>
      <c r="E15" s="117">
        <f>E11+E13</f>
        <v>0</v>
      </c>
      <c r="F15" s="120"/>
      <c r="G15" s="119">
        <f>G11+G13</f>
        <v>0</v>
      </c>
      <c r="H15" s="120"/>
      <c r="I15" s="121">
        <f>I11+I13</f>
        <v>0</v>
      </c>
      <c r="J15" s="120"/>
      <c r="K15" s="122">
        <f>K11+K13</f>
        <v>0</v>
      </c>
      <c r="M15" s="162" t="s">
        <v>145</v>
      </c>
      <c r="N15" s="162"/>
      <c r="O15" s="162"/>
      <c r="P15" s="162"/>
      <c r="Q15" s="162"/>
      <c r="R15" s="162"/>
      <c r="S15" s="162"/>
    </row>
    <row r="16" spans="1:11" ht="15">
      <c r="A16" s="85"/>
      <c r="E16" s="124"/>
      <c r="F16" s="87"/>
      <c r="G16" s="125"/>
      <c r="H16" s="87"/>
      <c r="I16" s="126"/>
      <c r="J16" s="87"/>
      <c r="K16" s="127"/>
    </row>
    <row r="17" spans="1:11" ht="15">
      <c r="A17" s="85">
        <v>7</v>
      </c>
      <c r="C17" s="71" t="s">
        <v>101</v>
      </c>
      <c r="E17" s="124"/>
      <c r="F17" s="87"/>
      <c r="G17" s="88">
        <f>E15-G15</f>
        <v>0</v>
      </c>
      <c r="H17" s="87"/>
      <c r="I17" s="89">
        <f>E15-I15</f>
        <v>0</v>
      </c>
      <c r="J17" s="87"/>
      <c r="K17" s="90">
        <f>E15-K15</f>
        <v>0</v>
      </c>
    </row>
    <row r="18" spans="1:11" ht="15">
      <c r="A18" s="85"/>
      <c r="E18" s="124"/>
      <c r="F18" s="87"/>
      <c r="G18" s="125"/>
      <c r="H18" s="87"/>
      <c r="I18" s="126"/>
      <c r="J18" s="87"/>
      <c r="K18" s="127"/>
    </row>
    <row r="19" spans="1:19" ht="15">
      <c r="A19" s="85">
        <v>8</v>
      </c>
      <c r="C19" s="71" t="s">
        <v>98</v>
      </c>
      <c r="E19" s="86" t="e">
        <f>((1+'Start Page - Input Values'!D29)^'Start Page - Input Values'!D27*'Start Page - Input Values'!D29)/((1+'Start Page - Input Values'!D29)^'Start Page - Input Values'!D27-1)*Economics!E7+E15</f>
        <v>#DIV/0!</v>
      </c>
      <c r="F19" s="87"/>
      <c r="G19" s="88" t="e">
        <f>((1+'Start Page - Input Values'!F29)^'Start Page - Input Values'!F27*'Start Page - Input Values'!F29)/((1+'Start Page - Input Values'!F29)^'Start Page - Input Values'!F27-1)*Economics!G7+G15</f>
        <v>#DIV/0!</v>
      </c>
      <c r="H19" s="87"/>
      <c r="I19" s="89" t="e">
        <f>((1+'Start Page - Input Values'!H29)^'Start Page - Input Values'!H27*'Start Page - Input Values'!H29)/((1+'Start Page - Input Values'!H29)^'Start Page - Input Values'!H27-1)*Economics!I7+I15</f>
        <v>#DIV/0!</v>
      </c>
      <c r="J19" s="87"/>
      <c r="K19" s="90" t="e">
        <f>((1+'Start Page - Input Values'!J29)^'Start Page - Input Values'!J27*'Start Page - Input Values'!J29)/((1+'Start Page - Input Values'!J29)^'Start Page - Input Values'!J27-1)*Economics!K7+K15</f>
        <v>#DIV/0!</v>
      </c>
      <c r="M19" s="159" t="s">
        <v>146</v>
      </c>
      <c r="N19" s="159"/>
      <c r="O19" s="159"/>
      <c r="P19" s="159"/>
      <c r="Q19" s="159"/>
      <c r="R19" s="159"/>
      <c r="S19" s="159"/>
    </row>
    <row r="20" spans="1:11" ht="15">
      <c r="A20" s="85"/>
      <c r="E20" s="124"/>
      <c r="F20" s="87"/>
      <c r="G20" s="125"/>
      <c r="H20" s="87"/>
      <c r="I20" s="126"/>
      <c r="J20" s="87"/>
      <c r="K20" s="127"/>
    </row>
    <row r="21" spans="1:11" ht="15">
      <c r="A21" s="85">
        <v>9</v>
      </c>
      <c r="C21" s="71" t="s">
        <v>97</v>
      </c>
      <c r="E21" s="128" t="e">
        <f>E19/'Start Page - Input Values'!D23</f>
        <v>#DIV/0!</v>
      </c>
      <c r="F21" s="129"/>
      <c r="G21" s="130" t="e">
        <f>G19/'Start Page - Input Values'!F23</f>
        <v>#DIV/0!</v>
      </c>
      <c r="H21" s="129"/>
      <c r="I21" s="131" t="e">
        <f>I19/'Start Page - Input Values'!H23</f>
        <v>#DIV/0!</v>
      </c>
      <c r="J21" s="129"/>
      <c r="K21" s="132" t="e">
        <f>K19/'Start Page - Input Values'!J23</f>
        <v>#DIV/0!</v>
      </c>
    </row>
    <row r="22" spans="1:11" ht="15">
      <c r="A22" s="85"/>
      <c r="E22" s="124"/>
      <c r="F22" s="87"/>
      <c r="G22" s="125"/>
      <c r="H22" s="87"/>
      <c r="I22" s="126"/>
      <c r="J22" s="87"/>
      <c r="K22" s="127"/>
    </row>
    <row r="23" spans="1:19" ht="15">
      <c r="A23" s="85">
        <v>10</v>
      </c>
      <c r="C23" s="71" t="s">
        <v>99</v>
      </c>
      <c r="E23" s="124"/>
      <c r="F23" s="87"/>
      <c r="G23" s="88" t="e">
        <f>G19-E19</f>
        <v>#DIV/0!</v>
      </c>
      <c r="H23" s="87"/>
      <c r="I23" s="89" t="e">
        <f>I19-E19</f>
        <v>#DIV/0!</v>
      </c>
      <c r="J23" s="87"/>
      <c r="K23" s="90" t="e">
        <f>K19-E19</f>
        <v>#DIV/0!</v>
      </c>
      <c r="M23" s="159" t="s">
        <v>147</v>
      </c>
      <c r="N23" s="159"/>
      <c r="O23" s="159"/>
      <c r="P23" s="159"/>
      <c r="Q23" s="159"/>
      <c r="R23" s="159"/>
      <c r="S23" s="159"/>
    </row>
    <row r="24" spans="1:11" ht="15">
      <c r="A24" s="85"/>
      <c r="E24" s="114"/>
      <c r="F24" s="113"/>
      <c r="G24" s="111"/>
      <c r="H24" s="113"/>
      <c r="I24" s="106"/>
      <c r="J24" s="113"/>
      <c r="K24" s="107"/>
    </row>
    <row r="25" spans="1:11" ht="15">
      <c r="A25" s="85">
        <v>11</v>
      </c>
      <c r="C25" s="71" t="s">
        <v>104</v>
      </c>
      <c r="E25" s="114"/>
      <c r="F25" s="113"/>
      <c r="G25" s="92" t="e">
        <f>G9/G17</f>
        <v>#DIV/0!</v>
      </c>
      <c r="H25" s="113"/>
      <c r="I25" s="93" t="e">
        <f>I9/I17</f>
        <v>#DIV/0!</v>
      </c>
      <c r="J25" s="113"/>
      <c r="K25" s="133" t="e">
        <f>K9/K17</f>
        <v>#DIV/0!</v>
      </c>
    </row>
    <row r="26" spans="1:11" ht="15">
      <c r="A26" s="85"/>
      <c r="E26" s="81"/>
      <c r="G26" s="82"/>
      <c r="I26" s="83"/>
      <c r="K26" s="84"/>
    </row>
    <row r="27" spans="1:19" ht="18">
      <c r="A27" s="85">
        <v>12</v>
      </c>
      <c r="C27" s="71" t="s">
        <v>103</v>
      </c>
      <c r="E27" s="81"/>
      <c r="G27" s="88" t="e">
        <f>G23/Environment!G14</f>
        <v>#DIV/0!</v>
      </c>
      <c r="H27" s="87"/>
      <c r="I27" s="89" t="e">
        <f>I23/Environment!I14</f>
        <v>#DIV/0!</v>
      </c>
      <c r="J27" s="87"/>
      <c r="K27" s="90" t="e">
        <f>K23/Environment!K14</f>
        <v>#DIV/0!</v>
      </c>
      <c r="M27" s="159" t="s">
        <v>148</v>
      </c>
      <c r="N27" s="159"/>
      <c r="O27" s="159"/>
      <c r="P27" s="159"/>
      <c r="Q27" s="159"/>
      <c r="R27" s="159"/>
      <c r="S27" s="159"/>
    </row>
    <row r="28" spans="5:11" ht="15">
      <c r="E28" s="81"/>
      <c r="G28" s="82"/>
      <c r="I28" s="83"/>
      <c r="K28" s="84"/>
    </row>
    <row r="29" spans="1:19" ht="18">
      <c r="A29" s="71">
        <v>13</v>
      </c>
      <c r="C29" s="71" t="s">
        <v>108</v>
      </c>
      <c r="E29" s="81"/>
      <c r="G29" s="88" t="e">
        <f>G23-'Start Page - Input Values'!F64*Environment!G14</f>
        <v>#DIV/0!</v>
      </c>
      <c r="H29" s="87"/>
      <c r="I29" s="89" t="e">
        <f>I23-'Start Page - Input Values'!F64*Environment!I14</f>
        <v>#DIV/0!</v>
      </c>
      <c r="J29" s="87"/>
      <c r="K29" s="90" t="e">
        <f>K23-'Start Page - Input Values'!F64*Environment!K14</f>
        <v>#DIV/0!</v>
      </c>
      <c r="M29" s="159" t="s">
        <v>149</v>
      </c>
      <c r="N29" s="159"/>
      <c r="O29" s="159"/>
      <c r="P29" s="159"/>
      <c r="Q29" s="159"/>
      <c r="R29" s="159"/>
      <c r="S29" s="159"/>
    </row>
  </sheetData>
  <mergeCells count="10">
    <mergeCell ref="M19:S19"/>
    <mergeCell ref="M23:S23"/>
    <mergeCell ref="M27:S27"/>
    <mergeCell ref="M29:S29"/>
    <mergeCell ref="G1:I1"/>
    <mergeCell ref="G2:I2"/>
    <mergeCell ref="M7:S7"/>
    <mergeCell ref="M9:S9"/>
    <mergeCell ref="M13:S13"/>
    <mergeCell ref="M15:S15"/>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 grutter</dc:creator>
  <cp:keywords/>
  <dc:description/>
  <cp:lastModifiedBy>Stephan Gnos</cp:lastModifiedBy>
  <dcterms:created xsi:type="dcterms:W3CDTF">2014-09-24T09:12:36Z</dcterms:created>
  <dcterms:modified xsi:type="dcterms:W3CDTF">2015-03-02T10:54:01Z</dcterms:modified>
  <cp:category/>
  <cp:version/>
  <cp:contentType/>
  <cp:contentStatus/>
</cp:coreProperties>
</file>